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chartsheets/sheet1.xml" ContentType="application/vnd.openxmlformats-officedocument.spreadsheetml.chart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765" windowWidth="12120" windowHeight="8250" tabRatio="810" activeTab="0"/>
  </bookViews>
  <sheets>
    <sheet name="Instructions" sheetId="1" r:id="rId1"/>
    <sheet name="Data Entry" sheetId="2" r:id="rId2"/>
    <sheet name="Compass Rule Adjustment" sheetId="3" r:id="rId3"/>
    <sheet name="Linear Traverse" sheetId="4" r:id="rId4"/>
    <sheet name="Conversion Tools" sheetId="5" r:id="rId5"/>
    <sheet name="Example Data Entry" sheetId="6" r:id="rId6"/>
    <sheet name="Example Compass Adjustment" sheetId="7" r:id="rId7"/>
    <sheet name="Example Traverse Map" sheetId="8" r:id="rId8"/>
  </sheets>
  <definedNames>
    <definedName name="Example_compass_bal_X_values">OFFSET('Compass Rule Adjustment'!$M$37,0,0,COUNT('Compass Rule Adjustment'!$M$37:$M$137))</definedName>
    <definedName name="Example_compass_bal_Y_values">OFFSET('Compass Rule Adjustment'!$N$37,0,0,COUNT('Compass Rule Adjustment'!$N$37:$N$137))</definedName>
    <definedName name="Example_compass_unadj_X_values">OFFSET('Compass Rule Adjustment'!$F$37,0,0,COUNT('Compass Rule Adjustment'!$F$37:$F$137))</definedName>
    <definedName name="Example_compass_unadj_Y_values">OFFSET('Compass Rule Adjustment'!$G$37,0,0,COUNT('Compass Rule Adjustment'!$G$37:$G$137))</definedName>
    <definedName name="Example_rotated_X_values">OFFSET('Data Entry'!$S$16,0,0,COUNT('Data Entry'!$S$16:$S$116))</definedName>
    <definedName name="Example_rotated_Y_values">OFFSET('Data Entry'!$T$16,0,0,COUNT('Data Entry'!$T$16:$T$116))</definedName>
    <definedName name="Example_unadj_X_values">OFFSET('Data Entry'!$Q$16,0,0,COUNT('Data Entry'!$Q$16:$Q$116))</definedName>
    <definedName name="Example_unadj_Y_values">OFFSET('Data Entry'!$R$16,0,0,COUNT('Data Entry'!$R$16:$R$116))</definedName>
    <definedName name="Linear_X_values">OFFSET('Linear Traverse'!$F$32,0,0,COUNT('Linear Traverse'!$F$32:$F$132))</definedName>
    <definedName name="Linear_Y_values">OFFSET('Linear Traverse'!$G$32,0,0,COUNT('Linear Traverse'!$G$32:$G$132))</definedName>
  </definedNames>
  <calcPr fullCalcOnLoad="1"/>
</workbook>
</file>

<file path=xl/sharedStrings.xml><?xml version="1.0" encoding="utf-8"?>
<sst xmlns="http://schemas.openxmlformats.org/spreadsheetml/2006/main" count="747" uniqueCount="168">
  <si>
    <t>Bearing</t>
  </si>
  <si>
    <t>Azimuth</t>
  </si>
  <si>
    <t>s13w</t>
  </si>
  <si>
    <t>s16w</t>
  </si>
  <si>
    <t>Point #</t>
  </si>
  <si>
    <t>HD</t>
  </si>
  <si>
    <t>n60w</t>
  </si>
  <si>
    <t>s84w</t>
  </si>
  <si>
    <t>s70w</t>
  </si>
  <si>
    <t>s40w</t>
  </si>
  <si>
    <t>s18w</t>
  </si>
  <si>
    <t>s57w</t>
  </si>
  <si>
    <t>s79w</t>
  </si>
  <si>
    <t>s20w</t>
  </si>
  <si>
    <t>s35w</t>
  </si>
  <si>
    <t>START</t>
  </si>
  <si>
    <t>N/A</t>
  </si>
  <si>
    <t>s11w</t>
  </si>
  <si>
    <t>s1e</t>
  </si>
  <si>
    <t>s84e</t>
  </si>
  <si>
    <t>s86e</t>
  </si>
  <si>
    <t>s87e</t>
  </si>
  <si>
    <t>s83e</t>
  </si>
  <si>
    <t>n89e</t>
  </si>
  <si>
    <t>s88e</t>
  </si>
  <si>
    <t>S89E</t>
  </si>
  <si>
    <t>Comments</t>
  </si>
  <si>
    <t>Leg D</t>
  </si>
  <si>
    <t>Leg A</t>
  </si>
  <si>
    <t>Leg B</t>
  </si>
  <si>
    <t>s82e</t>
  </si>
  <si>
    <t>s90e</t>
  </si>
  <si>
    <t>s85e</t>
  </si>
  <si>
    <t>n70e</t>
  </si>
  <si>
    <t>n74e</t>
  </si>
  <si>
    <t>n39e</t>
  </si>
  <si>
    <t>n61e</t>
  </si>
  <si>
    <t>n65e</t>
  </si>
  <si>
    <t>n75e</t>
  </si>
  <si>
    <t>Leg C</t>
  </si>
  <si>
    <t>n11w</t>
  </si>
  <si>
    <t>n42w</t>
  </si>
  <si>
    <t>n52w</t>
  </si>
  <si>
    <t>n35w</t>
  </si>
  <si>
    <t>n72w</t>
  </si>
  <si>
    <t>s85w</t>
  </si>
  <si>
    <t>n78w</t>
  </si>
  <si>
    <t>Left/Right Shift</t>
  </si>
  <si>
    <t>Up/Down Shift</t>
  </si>
  <si>
    <t>North Arrow Data:</t>
  </si>
  <si>
    <t>Azimuth:</t>
  </si>
  <si>
    <t>Bearing:</t>
  </si>
  <si>
    <t>Convert Azimuth To Bearings</t>
  </si>
  <si>
    <t>SD</t>
  </si>
  <si>
    <t>Convert Bearings To Azimuth</t>
  </si>
  <si>
    <t>Degrees</t>
  </si>
  <si>
    <t>D M' S"</t>
  </si>
  <si>
    <t>Example Azimuth</t>
  </si>
  <si>
    <t>0&lt;Azimuth&lt;360</t>
  </si>
  <si>
    <t>Example Bearing</t>
  </si>
  <si>
    <t>S10E, n45w, …</t>
  </si>
  <si>
    <t>Example Degrees</t>
  </si>
  <si>
    <t>0&lt;Degrees&lt;360</t>
  </si>
  <si>
    <t>Eg: 120, 134.5643, …</t>
  </si>
  <si>
    <t>Eg: 124.364, 275, …</t>
  </si>
  <si>
    <t>Convert D M' S" to Degrees</t>
  </si>
  <si>
    <t>Convert Degrees to D M' S"</t>
  </si>
  <si>
    <t>123 45' 13.2" should be</t>
  </si>
  <si>
    <t>entered as 123.45.13.2</t>
  </si>
  <si>
    <t>Example D M' S"</t>
  </si>
  <si>
    <t>D.M.S.s</t>
  </si>
  <si>
    <t>s10.2922e</t>
  </si>
  <si>
    <t>Departure</t>
  </si>
  <si>
    <t>Coordinates</t>
  </si>
  <si>
    <t>Latitude</t>
  </si>
  <si>
    <t>Linear Misclosure</t>
  </si>
  <si>
    <t>Unadjusted End Point</t>
  </si>
  <si>
    <t>Balanced End Point</t>
  </si>
  <si>
    <t xml:space="preserve">  First-order</t>
  </si>
  <si>
    <t xml:space="preserve">  Second-order Class I</t>
  </si>
  <si>
    <t xml:space="preserve">  Second-order Class II</t>
  </si>
  <si>
    <t xml:space="preserve">  Third-order Class I</t>
  </si>
  <si>
    <t xml:space="preserve">  Third-order Class II</t>
  </si>
  <si>
    <t>Balanced Area</t>
  </si>
  <si>
    <t>Xcurrent * Ynext</t>
  </si>
  <si>
    <t>Ycurrent * Xnext</t>
  </si>
  <si>
    <t>Area By Coordinates</t>
  </si>
  <si>
    <t>Tip Width</t>
  </si>
  <si>
    <t>Tip Length</t>
  </si>
  <si>
    <t>Relative Precision</t>
  </si>
  <si>
    <t>Add Length</t>
  </si>
  <si>
    <t>North Arrow Adjustment</t>
  </si>
  <si>
    <t>Units</t>
  </si>
  <si>
    <t xml:space="preserve">    ( 0: English (ft.), 1: Metric (m) )</t>
  </si>
  <si>
    <t>Traverse XL: Enter Traverse Data</t>
  </si>
  <si>
    <t>Angle</t>
  </si>
  <si>
    <t>Distance</t>
  </si>
  <si>
    <t>Unadjusted Data</t>
  </si>
  <si>
    <t>X (Easting)</t>
  </si>
  <si>
    <t>Y (Northing)</t>
  </si>
  <si>
    <t>Enter Traverse Data Below</t>
  </si>
  <si>
    <t>Slope (%)</t>
  </si>
  <si>
    <t>19.42.28.07</t>
  </si>
  <si>
    <t>X</t>
  </si>
  <si>
    <t>Y</t>
  </si>
  <si>
    <t>Rotation Angle</t>
  </si>
  <si>
    <t>X Shift</t>
  </si>
  <si>
    <t>Y Shift</t>
  </si>
  <si>
    <t>Measured Distance Units</t>
  </si>
  <si>
    <t>Balanced Perimeter</t>
  </si>
  <si>
    <t># Of Traverse Legs:</t>
  </si>
  <si>
    <t xml:space="preserve">   ( 1 International Foot = 0.3048 m
     1 Survey Foot = 0.304800609601 m)</t>
  </si>
  <si>
    <t>1984 FGCS Horizontal Control Survey Accuracy Standards:</t>
  </si>
  <si>
    <t>1/50,000</t>
  </si>
  <si>
    <t>1/20,000</t>
  </si>
  <si>
    <t>1/10,000</t>
  </si>
  <si>
    <t>1/5,000</t>
  </si>
  <si>
    <t>&gt; 1/5,000</t>
  </si>
  <si>
    <t>Required Precision</t>
  </si>
  <si>
    <t xml:space="preserve">  Greater Than Third-order Class III</t>
  </si>
  <si>
    <t>s78w</t>
  </si>
  <si>
    <t>Starting Coordinates</t>
  </si>
  <si>
    <t xml:space="preserve">   (Optional)</t>
  </si>
  <si>
    <t xml:space="preserve">    (In degrees; Clockwise)</t>
  </si>
  <si>
    <t>Data Check</t>
  </si>
  <si>
    <t>Starting Point</t>
  </si>
  <si>
    <t>Adjustment Data Display Units</t>
  </si>
  <si>
    <t>Calculated</t>
  </si>
  <si>
    <t>Distance Units</t>
  </si>
  <si>
    <t>Given</t>
  </si>
  <si>
    <t xml:space="preserve">    (In degrees; 0 is Up; Clockwise)</t>
  </si>
  <si>
    <t>Unaltered Coordinates</t>
  </si>
  <si>
    <t>Rotated Coordinates</t>
  </si>
  <si>
    <t>North Arrow Data</t>
  </si>
  <si>
    <t>Rotation Arrow Data</t>
  </si>
  <si>
    <t># Of Traverse Legs</t>
  </si>
  <si>
    <t>S10.2922E</t>
  </si>
  <si>
    <t>19  42'  28.07"</t>
  </si>
  <si>
    <t>Input Format</t>
  </si>
  <si>
    <t>Calculate Horizontal Distance and         Direction From Known Coordinates</t>
  </si>
  <si>
    <t xml:space="preserve">Horizontal Distance:  </t>
  </si>
  <si>
    <t xml:space="preserve">Bearing:  </t>
  </si>
  <si>
    <t xml:space="preserve">Azimuth (Degrees):  </t>
  </si>
  <si>
    <t xml:space="preserve">Azimuth (DMS):  </t>
  </si>
  <si>
    <t>Conversion Examples</t>
  </si>
  <si>
    <t>Traverse XL: Data Conversion Tools</t>
  </si>
  <si>
    <t>Starting Coordinate</t>
  </si>
  <si>
    <t>Ending Coordinate</t>
  </si>
  <si>
    <t>ft^2</t>
  </si>
  <si>
    <t>acres</t>
  </si>
  <si>
    <t>ft</t>
  </si>
  <si>
    <t/>
  </si>
  <si>
    <t>&lt;--- This Traverse</t>
  </si>
  <si>
    <t>Traverse XL: Linear Traverse</t>
  </si>
  <si>
    <t>Total Traverse Length</t>
  </si>
  <si>
    <t>Unadjusted Traverse Data</t>
  </si>
  <si>
    <t>Balanced Traverse Data (Bowditch Rule)</t>
  </si>
  <si>
    <t>Traverse XL: Balancing A Closed Traverse Using The Compass (Bowditch) Rule</t>
  </si>
  <si>
    <t>Start to End Direct Horizontal Distance</t>
  </si>
  <si>
    <t>DMS</t>
  </si>
  <si>
    <t>Linear Traverse Data</t>
  </si>
  <si>
    <t>English (ft)</t>
  </si>
  <si>
    <t>198  36'  41.57"</t>
  </si>
  <si>
    <t>S 18.6115 W</t>
  </si>
  <si>
    <t xml:space="preserve">For Conversions:
1 ft -&gt; ? m </t>
  </si>
  <si>
    <t>1/100,000</t>
  </si>
  <si>
    <t>Required Accuracy</t>
  </si>
  <si>
    <t xml:space="preserve">  Greater Than Third-order Class II</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</si>
</sst>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0000000"/>
    <numFmt numFmtId="167" formatCode="0.000000000000"/>
    <numFmt numFmtId="168" formatCode="0.0"/>
    <numFmt numFmtId="169" formatCode="0.000000"/>
    <numFmt numFmtId="170" formatCode="0.0%"/>
    <numFmt numFmtId="171" formatCode="0.0000000000000000"/>
    <numFmt numFmtId="172" formatCode="&quot;1 / &quot;\ 0"/>
    <numFmt numFmtId="173" formatCode="&quot;1/ &quot;\ 0"/>
    <numFmt numFmtId="174" formatCode="&quot; = 1/ &quot;\ 0"/>
    <numFmt numFmtId="175" formatCode="&quot; (1/ &quot;\ 0\)"/>
    <numFmt numFmtId="176" formatCode="&quot; (1/&quot;0\)"/>
    <numFmt numFmtId="177" formatCode="&quot;+/-&quot;\ 0.00\ &quot;inches&quot;"/>
    <numFmt numFmtId="178" formatCode="&quot;+/-&quot;\ 0.00\ &quot;&quot;&quot;&quot;"/>
    <numFmt numFmtId="179" formatCode="&quot;+/-&quot;\ 0.00\ &quot;in&quot;"/>
    <numFmt numFmtId="180" formatCode="&quot;(+/-&quot;\ 0.00\ &quot;feet)&quot;"/>
    <numFmt numFmtId="181" formatCode="0.00000"/>
    <numFmt numFmtId="182" formatCode="0.000\ &quot;acres&quot;"/>
    <numFmt numFmtId="183" formatCode="&quot;+/-&quot;\ 0.00"/>
    <numFmt numFmtId="184" formatCode="&quot;(+/-&quot;\ 0.00\ &quot;)&quot;"/>
    <numFmt numFmtId="185" formatCode="&quot; (1/&quot;0.0000\)"/>
  </numFmts>
  <fonts count="36">
    <font>
      <sz val="10"/>
      <name val="Arial"/>
      <family val="0"/>
    </font>
    <font>
      <b/>
      <sz val="10"/>
      <name val="Arial"/>
      <family val="2"/>
    </font>
    <font>
      <u val="single"/>
      <sz val="10"/>
      <color indexed="12"/>
      <name val="Arial"/>
      <family val="0"/>
    </font>
    <font>
      <u val="single"/>
      <sz val="10"/>
      <color indexed="36"/>
      <name val="Arial"/>
      <family val="0"/>
    </font>
    <font>
      <sz val="10"/>
      <color indexed="62"/>
      <name val="Arial"/>
      <family val="2"/>
    </font>
    <font>
      <b/>
      <sz val="18"/>
      <name val="Arial"/>
      <family val="2"/>
    </font>
    <font>
      <sz val="10"/>
      <color indexed="17"/>
      <name val="Arial"/>
      <family val="2"/>
    </font>
    <font>
      <b/>
      <sz val="10"/>
      <color indexed="18"/>
      <name val="Arial"/>
      <family val="2"/>
    </font>
    <font>
      <sz val="10"/>
      <color indexed="18"/>
      <name val="Arial"/>
      <family val="2"/>
    </font>
    <font>
      <i/>
      <sz val="10"/>
      <name val="Arial"/>
      <family val="2"/>
    </font>
    <font>
      <sz val="10"/>
      <name val="Wingdings"/>
      <family val="0"/>
    </font>
    <font>
      <sz val="10"/>
      <name val="Symbol"/>
      <family val="1"/>
    </font>
    <font>
      <sz val="20.5"/>
      <name val="Arial"/>
      <family val="0"/>
    </font>
    <font>
      <b/>
      <sz val="14"/>
      <name val="Arial"/>
      <family val="2"/>
    </font>
    <font>
      <sz val="8"/>
      <name val="Arial"/>
      <family val="0"/>
    </font>
    <font>
      <sz val="8"/>
      <color indexed="18"/>
      <name val="Arial"/>
      <family val="2"/>
    </font>
    <font>
      <b/>
      <sz val="11"/>
      <color indexed="18"/>
      <name val="Arial"/>
      <family val="2"/>
    </font>
    <font>
      <sz val="10.75"/>
      <name val="Arial"/>
      <family val="0"/>
    </font>
    <font>
      <b/>
      <sz val="11"/>
      <name val="Arial"/>
      <family val="2"/>
    </font>
    <font>
      <sz val="9.5"/>
      <name val="Arial"/>
      <family val="2"/>
    </font>
    <font>
      <sz val="22.5"/>
      <name val="Arial"/>
      <family val="0"/>
    </font>
    <font>
      <sz val="16.25"/>
      <name val="Arial"/>
      <family val="0"/>
    </font>
    <font>
      <sz val="16.25"/>
      <color indexed="10"/>
      <name val="Arial"/>
      <family val="2"/>
    </font>
    <font>
      <sz val="10.25"/>
      <name val="Arial"/>
      <family val="2"/>
    </font>
    <font>
      <sz val="11.75"/>
      <name val="Arial"/>
      <family val="2"/>
    </font>
    <font>
      <b/>
      <sz val="11.75"/>
      <name val="Arial"/>
      <family val="2"/>
    </font>
    <font>
      <sz val="8.75"/>
      <name val="Arial"/>
      <family val="2"/>
    </font>
    <font>
      <b/>
      <sz val="18.75"/>
      <name val="Arial"/>
      <family val="0"/>
    </font>
    <font>
      <b/>
      <sz val="16.25"/>
      <name val="Arial"/>
      <family val="0"/>
    </font>
    <font>
      <sz val="10"/>
      <color indexed="10"/>
      <name val="Arial"/>
      <family val="2"/>
    </font>
    <font>
      <b/>
      <sz val="12"/>
      <name val="Arial"/>
      <family val="2"/>
    </font>
    <font>
      <b/>
      <sz val="8"/>
      <name val="Arial"/>
      <family val="2"/>
    </font>
    <font>
      <sz val="9"/>
      <name val="Arial"/>
      <family val="2"/>
    </font>
    <font>
      <sz val="23.5"/>
      <name val="Arial"/>
      <family val="0"/>
    </font>
    <font>
      <sz val="9.75"/>
      <name val="Arial"/>
      <family val="2"/>
    </font>
    <font>
      <sz val="20"/>
      <name val="Arial"/>
      <family val="2"/>
    </font>
  </fonts>
  <fills count="4">
    <fill>
      <patternFill/>
    </fill>
    <fill>
      <patternFill patternType="gray125"/>
    </fill>
    <fill>
      <patternFill patternType="solid">
        <fgColor indexed="26"/>
        <bgColor indexed="64"/>
      </patternFill>
    </fill>
    <fill>
      <patternFill patternType="solid">
        <fgColor indexed="22"/>
        <bgColor indexed="64"/>
      </patternFill>
    </fill>
  </fills>
  <borders count="81">
    <border>
      <left/>
      <right/>
      <top/>
      <bottom/>
      <diagonal/>
    </border>
    <border>
      <left style="thin"/>
      <right style="double"/>
      <top style="thin"/>
      <bottom style="double"/>
    </border>
    <border>
      <left style="double"/>
      <right style="thin"/>
      <top style="thin"/>
      <bottom style="thin"/>
    </border>
    <border>
      <left style="thin"/>
      <right style="double"/>
      <top style="thin"/>
      <bottom style="thin"/>
    </border>
    <border>
      <left style="thin"/>
      <right style="thin"/>
      <top style="double"/>
      <bottom>
        <color indexed="63"/>
      </bottom>
    </border>
    <border>
      <left style="double"/>
      <right>
        <color indexed="63"/>
      </right>
      <top style="double"/>
      <bottom>
        <color indexed="63"/>
      </bottom>
    </border>
    <border>
      <left style="double"/>
      <right>
        <color indexed="63"/>
      </right>
      <top>
        <color indexed="63"/>
      </top>
      <bottom>
        <color indexed="63"/>
      </bottom>
    </border>
    <border>
      <left style="double"/>
      <right style="double"/>
      <top>
        <color indexed="63"/>
      </top>
      <bottom>
        <color indexed="63"/>
      </bottom>
    </border>
    <border>
      <left style="double"/>
      <right>
        <color indexed="63"/>
      </right>
      <top>
        <color indexed="63"/>
      </top>
      <bottom style="double"/>
    </border>
    <border>
      <left style="double"/>
      <right style="double"/>
      <top style="double"/>
      <bottom style="thin"/>
    </border>
    <border>
      <left style="double"/>
      <right style="double"/>
      <top>
        <color indexed="63"/>
      </top>
      <bottom style="double"/>
    </border>
    <border>
      <left style="thin"/>
      <right style="thin"/>
      <top style="thin"/>
      <bottom style="double"/>
    </border>
    <border>
      <left style="thin"/>
      <right>
        <color indexed="63"/>
      </right>
      <top style="thin"/>
      <bottom style="double"/>
    </border>
    <border>
      <left>
        <color indexed="63"/>
      </left>
      <right style="thin"/>
      <top>
        <color indexed="63"/>
      </top>
      <bottom style="double"/>
    </border>
    <border>
      <left>
        <color indexed="63"/>
      </left>
      <right style="thin"/>
      <top style="thin"/>
      <bottom style="double"/>
    </border>
    <border>
      <left>
        <color indexed="63"/>
      </left>
      <right style="thin"/>
      <top style="double"/>
      <bottom>
        <color indexed="63"/>
      </bottom>
    </border>
    <border>
      <left style="thin"/>
      <right>
        <color indexed="63"/>
      </right>
      <top>
        <color indexed="63"/>
      </top>
      <bottom>
        <color indexed="63"/>
      </bottom>
    </border>
    <border>
      <left style="thin"/>
      <right>
        <color indexed="63"/>
      </right>
      <top>
        <color indexed="63"/>
      </top>
      <bottom style="double"/>
    </border>
    <border>
      <left style="double"/>
      <right style="thin"/>
      <top>
        <color indexed="63"/>
      </top>
      <bottom style="double"/>
    </border>
    <border>
      <left>
        <color indexed="63"/>
      </left>
      <right style="double"/>
      <top>
        <color indexed="63"/>
      </top>
      <bottom>
        <color indexed="63"/>
      </bottom>
    </border>
    <border>
      <left style="thin"/>
      <right style="double"/>
      <top style="double"/>
      <bottom style="thin"/>
    </border>
    <border>
      <left style="double"/>
      <right>
        <color indexed="63"/>
      </right>
      <top style="thin"/>
      <bottom style="thin"/>
    </border>
    <border>
      <left>
        <color indexed="63"/>
      </left>
      <right style="double"/>
      <top>
        <color indexed="63"/>
      </top>
      <bottom style="double"/>
    </border>
    <border>
      <left style="thin"/>
      <right style="thin"/>
      <top style="double"/>
      <bottom style="thin"/>
    </border>
    <border>
      <left>
        <color indexed="63"/>
      </left>
      <right>
        <color indexed="63"/>
      </right>
      <top style="double"/>
      <bottom>
        <color indexed="63"/>
      </bottom>
    </border>
    <border>
      <left style="thin"/>
      <right>
        <color indexed="63"/>
      </right>
      <top style="double"/>
      <bottom>
        <color indexed="63"/>
      </bottom>
    </border>
    <border>
      <left>
        <color indexed="63"/>
      </left>
      <right>
        <color indexed="63"/>
      </right>
      <top>
        <color indexed="63"/>
      </top>
      <bottom style="double"/>
    </border>
    <border>
      <left style="double"/>
      <right>
        <color indexed="63"/>
      </right>
      <top style="double"/>
      <bottom style="thin"/>
    </border>
    <border>
      <left style="double"/>
      <right>
        <color indexed="63"/>
      </right>
      <top style="thin"/>
      <bottom>
        <color indexed="63"/>
      </bottom>
    </border>
    <border>
      <left>
        <color indexed="63"/>
      </left>
      <right>
        <color indexed="63"/>
      </right>
      <top style="double"/>
      <bottom style="thin"/>
    </border>
    <border>
      <left>
        <color indexed="63"/>
      </left>
      <right style="double"/>
      <top style="double"/>
      <bottom style="thin"/>
    </border>
    <border>
      <left>
        <color indexed="63"/>
      </left>
      <right>
        <color indexed="63"/>
      </right>
      <top style="thin"/>
      <bottom>
        <color indexed="63"/>
      </bottom>
    </border>
    <border>
      <left>
        <color indexed="63"/>
      </left>
      <right style="double"/>
      <top style="thin"/>
      <bottom>
        <color indexed="63"/>
      </bottom>
    </border>
    <border>
      <left>
        <color indexed="63"/>
      </left>
      <right style="double"/>
      <top style="double"/>
      <bottom>
        <color indexed="63"/>
      </bottom>
    </border>
    <border>
      <left style="double"/>
      <right style="double"/>
      <top style="double"/>
      <bottom style="double"/>
    </border>
    <border>
      <left style="double"/>
      <right style="double"/>
      <top style="thin"/>
      <bottom style="thin"/>
    </border>
    <border>
      <left style="double"/>
      <right style="double"/>
      <top style="thin"/>
      <bottom style="double"/>
    </border>
    <border>
      <left style="double"/>
      <right style="thin"/>
      <top>
        <color indexed="63"/>
      </top>
      <bottom>
        <color indexed="63"/>
      </bottom>
    </border>
    <border>
      <left style="thin"/>
      <right style="double"/>
      <top>
        <color indexed="63"/>
      </top>
      <bottom>
        <color indexed="63"/>
      </bottom>
    </border>
    <border>
      <left style="thin"/>
      <right style="double"/>
      <top>
        <color indexed="63"/>
      </top>
      <bottom style="double"/>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color indexed="63"/>
      </left>
      <right style="double"/>
      <top style="thin"/>
      <bottom style="thin"/>
    </border>
    <border>
      <left style="double"/>
      <right>
        <color indexed="63"/>
      </right>
      <top style="thin"/>
      <bottom style="double"/>
    </border>
    <border>
      <left>
        <color indexed="63"/>
      </left>
      <right style="double"/>
      <top style="thin"/>
      <bottom style="double"/>
    </border>
    <border>
      <left style="double"/>
      <right style="dotted"/>
      <top>
        <color indexed="63"/>
      </top>
      <bottom style="double"/>
    </border>
    <border>
      <left style="dotted"/>
      <right style="double"/>
      <top>
        <color indexed="63"/>
      </top>
      <bottom style="double"/>
    </border>
    <border>
      <left style="thin"/>
      <right style="thin"/>
      <top style="thin"/>
      <bottom style="medium"/>
    </border>
    <border>
      <left>
        <color indexed="63"/>
      </left>
      <right style="double"/>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style="medium"/>
    </border>
    <border>
      <left style="thin"/>
      <right style="double"/>
      <top style="thin"/>
      <bottom style="medium"/>
    </border>
    <border>
      <left style="double"/>
      <right style="thin"/>
      <top style="thin"/>
      <bottom style="medium"/>
    </border>
    <border>
      <left style="double"/>
      <right style="thin"/>
      <top>
        <color indexed="63"/>
      </top>
      <bottom style="thin"/>
    </border>
    <border>
      <left style="double"/>
      <right style="thin"/>
      <top style="thin"/>
      <bottom style="double"/>
    </border>
    <border>
      <left style="double"/>
      <right style="thin"/>
      <top style="double"/>
      <bottom style="medium"/>
    </border>
    <border>
      <left>
        <color indexed="63"/>
      </left>
      <right style="double"/>
      <top style="double"/>
      <bottom style="medium"/>
    </border>
    <border>
      <left style="double"/>
      <right style="double"/>
      <top style="double"/>
      <bottom style="medium"/>
    </border>
    <border>
      <left style="double"/>
      <right>
        <color indexed="63"/>
      </right>
      <top>
        <color indexed="63"/>
      </top>
      <bottom style="thin"/>
    </border>
    <border>
      <left style="thin"/>
      <right style="double"/>
      <top style="medium"/>
      <bottom style="thin"/>
    </border>
    <border>
      <left>
        <color indexed="63"/>
      </left>
      <right>
        <color indexed="63"/>
      </right>
      <top style="thin"/>
      <bottom style="thin"/>
    </border>
    <border>
      <left style="double"/>
      <right>
        <color indexed="63"/>
      </right>
      <top style="double"/>
      <bottom style="double"/>
    </border>
    <border>
      <left>
        <color indexed="63"/>
      </left>
      <right style="double"/>
      <top style="double"/>
      <bottom style="double"/>
    </border>
    <border>
      <left style="thin"/>
      <right style="double"/>
      <top style="thin"/>
      <bottom>
        <color indexed="63"/>
      </bottom>
    </border>
    <border>
      <left>
        <color indexed="63"/>
      </left>
      <right style="double"/>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double"/>
    </border>
    <border>
      <left>
        <color indexed="63"/>
      </left>
      <right style="thin"/>
      <top style="thin"/>
      <bottom>
        <color indexed="63"/>
      </bottom>
    </border>
    <border>
      <left style="double"/>
      <right style="thin"/>
      <top style="thin"/>
      <bottom>
        <color indexed="63"/>
      </bottom>
    </border>
    <border>
      <left style="thin"/>
      <right>
        <color indexed="63"/>
      </right>
      <top style="thin"/>
      <bottom>
        <color indexed="63"/>
      </bottom>
    </border>
    <border>
      <left style="thin"/>
      <right>
        <color indexed="63"/>
      </right>
      <top>
        <color indexed="63"/>
      </top>
      <bottom style="medium"/>
    </border>
    <border>
      <left>
        <color indexed="63"/>
      </left>
      <right style="thin"/>
      <top>
        <color indexed="63"/>
      </top>
      <bottom style="medium"/>
    </border>
    <border>
      <left style="double"/>
      <right>
        <color indexed="63"/>
      </right>
      <top>
        <color indexed="63"/>
      </top>
      <bottom style="medium"/>
    </border>
    <border>
      <left style="double"/>
      <right style="thin"/>
      <top style="double"/>
      <bottom>
        <color indexed="63"/>
      </bottom>
    </border>
    <border>
      <left style="double"/>
      <right style="thin"/>
      <top>
        <color indexed="63"/>
      </top>
      <bottom style="medium"/>
    </border>
    <border>
      <left style="thin"/>
      <right>
        <color indexed="63"/>
      </right>
      <top style="double"/>
      <bottom style="thin"/>
    </border>
    <border>
      <left style="double"/>
      <right>
        <color indexed="63"/>
      </right>
      <top style="double"/>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32">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left"/>
    </xf>
    <xf numFmtId="2" fontId="0" fillId="0" borderId="0" xfId="0" applyNumberFormat="1" applyAlignment="1">
      <alignment horizontal="center"/>
    </xf>
    <xf numFmtId="0" fontId="0" fillId="0" borderId="0" xfId="0" applyAlignment="1">
      <alignment horizontal="left"/>
    </xf>
    <xf numFmtId="0" fontId="6" fillId="0" borderId="0" xfId="0" applyFont="1" applyAlignment="1">
      <alignment horizontal="center"/>
    </xf>
    <xf numFmtId="0" fontId="8" fillId="0" borderId="0" xfId="0" applyFont="1" applyAlignment="1">
      <alignment horizontal="center"/>
    </xf>
    <xf numFmtId="0" fontId="0" fillId="0" borderId="0" xfId="0" applyBorder="1" applyAlignment="1">
      <alignment/>
    </xf>
    <xf numFmtId="0" fontId="9" fillId="0" borderId="1"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1" fillId="0" borderId="0" xfId="0" applyFont="1" applyBorder="1" applyAlignment="1">
      <alignment horizontal="center"/>
    </xf>
    <xf numFmtId="2" fontId="0" fillId="0" borderId="0" xfId="0" applyNumberFormat="1" applyAlignment="1">
      <alignment/>
    </xf>
    <xf numFmtId="0" fontId="6" fillId="0" borderId="4" xfId="0" applyFont="1" applyFill="1" applyBorder="1" applyAlignment="1">
      <alignment horizontal="center"/>
    </xf>
    <xf numFmtId="0" fontId="1" fillId="0" borderId="0" xfId="0" applyFont="1" applyAlignment="1">
      <alignment horizontal="center" wrapText="1"/>
    </xf>
    <xf numFmtId="0" fontId="0" fillId="0" borderId="5" xfId="0" applyBorder="1" applyAlignment="1">
      <alignment horizontal="center" vertical="center"/>
    </xf>
    <xf numFmtId="0" fontId="0" fillId="0" borderId="0" xfId="0"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left" vertical="center"/>
    </xf>
    <xf numFmtId="164" fontId="9" fillId="0" borderId="1" xfId="0" applyNumberFormat="1" applyFont="1" applyBorder="1" applyAlignment="1">
      <alignment horizontal="center"/>
    </xf>
    <xf numFmtId="0" fontId="11" fillId="0" borderId="0" xfId="0" applyFont="1" applyAlignment="1">
      <alignment/>
    </xf>
    <xf numFmtId="2" fontId="0" fillId="0" borderId="0" xfId="0" applyNumberFormat="1" applyBorder="1" applyAlignment="1">
      <alignment horizontal="center"/>
    </xf>
    <xf numFmtId="0" fontId="0" fillId="0" borderId="0" xfId="0" applyFont="1" applyAlignment="1">
      <alignment horizontal="center"/>
    </xf>
    <xf numFmtId="0" fontId="0" fillId="0" borderId="0" xfId="0" applyFont="1" applyAlignment="1">
      <alignment/>
    </xf>
    <xf numFmtId="0" fontId="0" fillId="0" borderId="7" xfId="0" applyBorder="1" applyAlignment="1">
      <alignment horizontal="center"/>
    </xf>
    <xf numFmtId="0" fontId="1" fillId="0" borderId="9" xfId="0" applyFont="1" applyBorder="1" applyAlignment="1">
      <alignment horizontal="center"/>
    </xf>
    <xf numFmtId="0" fontId="0" fillId="0" borderId="10" xfId="0" applyBorder="1" applyAlignment="1">
      <alignment horizontal="center"/>
    </xf>
    <xf numFmtId="165" fontId="0" fillId="0" borderId="0" xfId="0" applyNumberFormat="1" applyFont="1" applyAlignment="1">
      <alignment horizontal="center"/>
    </xf>
    <xf numFmtId="165" fontId="0" fillId="0" borderId="0" xfId="0" applyNumberFormat="1" applyFont="1" applyAlignment="1">
      <alignment/>
    </xf>
    <xf numFmtId="165" fontId="9" fillId="0" borderId="1" xfId="0" applyNumberFormat="1" applyFont="1" applyBorder="1" applyAlignment="1">
      <alignment horizontal="center"/>
    </xf>
    <xf numFmtId="0" fontId="0" fillId="0" borderId="0" xfId="0" applyBorder="1" applyAlignment="1">
      <alignment horizontal="center"/>
    </xf>
    <xf numFmtId="0" fontId="0" fillId="0" borderId="0" xfId="0" applyFont="1" applyAlignment="1">
      <alignment horizontal="left"/>
    </xf>
    <xf numFmtId="0" fontId="5" fillId="0" borderId="0" xfId="0" applyFont="1" applyAlignment="1">
      <alignment horizontal="left" vertical="center"/>
    </xf>
    <xf numFmtId="0" fontId="0" fillId="0" borderId="0" xfId="0" applyAlignment="1">
      <alignment horizontal="center" vertical="center"/>
    </xf>
    <xf numFmtId="2" fontId="0" fillId="0" borderId="0" xfId="0" applyNumberFormat="1" applyAlignment="1">
      <alignment horizontal="center" vertical="center"/>
    </xf>
    <xf numFmtId="2" fontId="0" fillId="0" borderId="0" xfId="0" applyNumberFormat="1" applyAlignment="1">
      <alignment vertical="center"/>
    </xf>
    <xf numFmtId="164" fontId="9" fillId="0" borderId="0" xfId="0" applyNumberFormat="1" applyFont="1" applyBorder="1" applyAlignment="1">
      <alignment horizontal="center"/>
    </xf>
    <xf numFmtId="0" fontId="8" fillId="0" borderId="0" xfId="0" applyFont="1" applyBorder="1" applyAlignment="1">
      <alignment horizontal="center"/>
    </xf>
    <xf numFmtId="165" fontId="0" fillId="0" borderId="0" xfId="0" applyNumberFormat="1" applyAlignment="1">
      <alignment horizontal="center"/>
    </xf>
    <xf numFmtId="165" fontId="0" fillId="0" borderId="0" xfId="0" applyNumberFormat="1" applyAlignment="1">
      <alignment/>
    </xf>
    <xf numFmtId="165" fontId="0" fillId="0" borderId="0" xfId="0" applyNumberFormat="1" applyBorder="1" applyAlignment="1">
      <alignment horizontal="center"/>
    </xf>
    <xf numFmtId="2" fontId="6" fillId="0" borderId="0" xfId="0" applyNumberFormat="1" applyFont="1" applyBorder="1" applyAlignment="1">
      <alignment horizontal="center" vertical="center"/>
    </xf>
    <xf numFmtId="0" fontId="6" fillId="0" borderId="0" xfId="0" applyFont="1" applyBorder="1" applyAlignment="1">
      <alignment horizontal="center" vertical="center"/>
    </xf>
    <xf numFmtId="175" fontId="6" fillId="0" borderId="0" xfId="0" applyNumberFormat="1" applyFont="1" applyBorder="1" applyAlignment="1">
      <alignment horizontal="center" vertical="center"/>
    </xf>
    <xf numFmtId="0" fontId="6" fillId="0" borderId="0" xfId="0" applyFont="1" applyAlignment="1">
      <alignment horizontal="left"/>
    </xf>
    <xf numFmtId="177" fontId="6" fillId="0" borderId="0" xfId="0" applyNumberFormat="1" applyFont="1" applyAlignment="1">
      <alignment horizontal="center"/>
    </xf>
    <xf numFmtId="180" fontId="6" fillId="0" borderId="0" xfId="0" applyNumberFormat="1" applyFont="1" applyAlignment="1">
      <alignment horizontal="center"/>
    </xf>
    <xf numFmtId="0" fontId="1" fillId="0" borderId="0" xfId="0" applyFont="1" applyAlignment="1">
      <alignment horizontal="center" vertical="center" wrapText="1"/>
    </xf>
    <xf numFmtId="0" fontId="8" fillId="0" borderId="0" xfId="0" applyFont="1" applyAlignment="1">
      <alignment horizontal="center" vertical="center"/>
    </xf>
    <xf numFmtId="2" fontId="8" fillId="0" borderId="0" xfId="0" applyNumberFormat="1" applyFont="1" applyAlignment="1">
      <alignment horizontal="center"/>
    </xf>
    <xf numFmtId="0" fontId="15" fillId="0" borderId="0" xfId="0" applyFont="1" applyAlignment="1">
      <alignment horizontal="center"/>
    </xf>
    <xf numFmtId="165" fontId="6" fillId="0" borderId="6" xfId="0" applyNumberFormat="1" applyFont="1" applyBorder="1" applyAlignment="1">
      <alignment horizontal="center"/>
    </xf>
    <xf numFmtId="176" fontId="6" fillId="0" borderId="0" xfId="0" applyNumberFormat="1" applyFont="1" applyBorder="1" applyAlignment="1">
      <alignment horizontal="center" vertical="center"/>
    </xf>
    <xf numFmtId="0" fontId="7" fillId="0" borderId="11" xfId="0" applyFont="1" applyFill="1" applyBorder="1" applyAlignment="1">
      <alignment horizontal="center" vertical="center"/>
    </xf>
    <xf numFmtId="0" fontId="0" fillId="0" borderId="0" xfId="0" applyAlignment="1">
      <alignment/>
    </xf>
    <xf numFmtId="0" fontId="7" fillId="0" borderId="12" xfId="0" applyFont="1" applyFill="1" applyBorder="1" applyAlignment="1">
      <alignment horizontal="center" vertical="center"/>
    </xf>
    <xf numFmtId="0" fontId="7" fillId="0" borderId="13" xfId="0" applyFont="1" applyBorder="1" applyAlignment="1">
      <alignment horizontal="center" vertical="center"/>
    </xf>
    <xf numFmtId="0" fontId="7" fillId="0" borderId="14" xfId="0" applyFont="1" applyFill="1" applyBorder="1" applyAlignment="1">
      <alignment horizontal="center" vertical="center"/>
    </xf>
    <xf numFmtId="0" fontId="6" fillId="0" borderId="15" xfId="0" applyFont="1" applyFill="1" applyBorder="1" applyAlignment="1">
      <alignment horizontal="center"/>
    </xf>
    <xf numFmtId="0" fontId="6" fillId="0" borderId="16" xfId="0" applyFont="1" applyFill="1" applyBorder="1" applyAlignment="1">
      <alignment horizontal="center"/>
    </xf>
    <xf numFmtId="0" fontId="6" fillId="0" borderId="4" xfId="0" applyFont="1" applyBorder="1" applyAlignment="1">
      <alignment horizontal="center"/>
    </xf>
    <xf numFmtId="0" fontId="7" fillId="0" borderId="17" xfId="0" applyFont="1" applyBorder="1" applyAlignment="1">
      <alignment horizontal="center" vertical="center"/>
    </xf>
    <xf numFmtId="0" fontId="6" fillId="0" borderId="6" xfId="0" applyFont="1" applyBorder="1" applyAlignment="1">
      <alignment horizontal="center"/>
    </xf>
    <xf numFmtId="0" fontId="8" fillId="0" borderId="8" xfId="0" applyFont="1" applyBorder="1" applyAlignment="1">
      <alignment horizontal="center"/>
    </xf>
    <xf numFmtId="0" fontId="5" fillId="0" borderId="0" xfId="0" applyFont="1" applyAlignment="1">
      <alignment vertical="center"/>
    </xf>
    <xf numFmtId="0" fontId="8" fillId="2" borderId="18" xfId="0" applyFont="1" applyFill="1" applyBorder="1" applyAlignment="1">
      <alignment horizontal="center"/>
    </xf>
    <xf numFmtId="0" fontId="8" fillId="2" borderId="18" xfId="0" applyNumberFormat="1" applyFont="1" applyFill="1" applyBorder="1" applyAlignment="1">
      <alignment horizontal="center"/>
    </xf>
    <xf numFmtId="2" fontId="1" fillId="0" borderId="11" xfId="0" applyNumberFormat="1" applyFont="1" applyBorder="1" applyAlignment="1">
      <alignment horizontal="center" vertical="center"/>
    </xf>
    <xf numFmtId="2" fontId="1" fillId="0" borderId="12" xfId="0" applyNumberFormat="1" applyFont="1" applyBorder="1" applyAlignment="1">
      <alignment horizontal="center" vertical="center"/>
    </xf>
    <xf numFmtId="0" fontId="1" fillId="0" borderId="0" xfId="0" applyFont="1" applyBorder="1" applyAlignment="1">
      <alignment horizontal="left"/>
    </xf>
    <xf numFmtId="0" fontId="0" fillId="0" borderId="0" xfId="0" applyFont="1" applyBorder="1" applyAlignment="1">
      <alignment horizontal="center"/>
    </xf>
    <xf numFmtId="0" fontId="9" fillId="0" borderId="0" xfId="0" applyFont="1" applyBorder="1" applyAlignment="1">
      <alignment horizontal="center"/>
    </xf>
    <xf numFmtId="0" fontId="11" fillId="0" borderId="0" xfId="0" applyFont="1" applyBorder="1" applyAlignment="1">
      <alignment/>
    </xf>
    <xf numFmtId="0" fontId="8" fillId="0" borderId="0" xfId="0" applyNumberFormat="1" applyFont="1" applyBorder="1" applyAlignment="1">
      <alignment horizontal="center"/>
    </xf>
    <xf numFmtId="165" fontId="9" fillId="0" borderId="0" xfId="0" applyNumberFormat="1" applyFont="1" applyBorder="1" applyAlignment="1">
      <alignment horizontal="center"/>
    </xf>
    <xf numFmtId="0" fontId="0" fillId="0" borderId="0" xfId="0" applyBorder="1" applyAlignment="1">
      <alignment/>
    </xf>
    <xf numFmtId="0" fontId="10" fillId="0" borderId="0" xfId="0" applyFont="1" applyBorder="1" applyAlignment="1">
      <alignment/>
    </xf>
    <xf numFmtId="165" fontId="0" fillId="0" borderId="0" xfId="0" applyNumberFormat="1" applyAlignment="1">
      <alignment horizontal="center" vertical="center"/>
    </xf>
    <xf numFmtId="2" fontId="13" fillId="0" borderId="7" xfId="0" applyNumberFormat="1" applyFont="1" applyBorder="1" applyAlignment="1">
      <alignment horizontal="center"/>
    </xf>
    <xf numFmtId="2" fontId="1" fillId="0" borderId="7" xfId="0" applyNumberFormat="1" applyFont="1" applyBorder="1" applyAlignment="1">
      <alignment horizontal="center"/>
    </xf>
    <xf numFmtId="2" fontId="0" fillId="0" borderId="7" xfId="0" applyNumberFormat="1" applyBorder="1" applyAlignment="1">
      <alignment horizontal="center"/>
    </xf>
    <xf numFmtId="182" fontId="6" fillId="0" borderId="0" xfId="0" applyNumberFormat="1" applyFont="1" applyBorder="1" applyAlignment="1">
      <alignment horizontal="center" vertical="center"/>
    </xf>
    <xf numFmtId="0" fontId="1" fillId="0" borderId="19" xfId="0" applyFont="1" applyBorder="1" applyAlignment="1">
      <alignment horizontal="center" wrapText="1"/>
    </xf>
    <xf numFmtId="181" fontId="6" fillId="0" borderId="0" xfId="0" applyNumberFormat="1" applyFont="1" applyBorder="1" applyAlignment="1">
      <alignment horizontal="center" vertical="center"/>
    </xf>
    <xf numFmtId="0" fontId="13" fillId="0" borderId="7" xfId="0" applyNumberFormat="1" applyFont="1" applyBorder="1" applyAlignment="1">
      <alignment horizontal="center"/>
    </xf>
    <xf numFmtId="0" fontId="1" fillId="0" borderId="0" xfId="0" applyFont="1" applyBorder="1" applyAlignment="1">
      <alignment horizontal="center" wrapText="1"/>
    </xf>
    <xf numFmtId="0" fontId="6" fillId="0" borderId="20" xfId="0" applyFont="1" applyBorder="1" applyAlignment="1">
      <alignment horizontal="center"/>
    </xf>
    <xf numFmtId="0" fontId="8" fillId="0" borderId="21" xfId="0" applyFont="1" applyBorder="1" applyAlignment="1">
      <alignment horizontal="center"/>
    </xf>
    <xf numFmtId="0" fontId="8" fillId="0" borderId="0" xfId="0" applyFont="1" applyFill="1" applyBorder="1" applyAlignment="1">
      <alignment horizontal="center"/>
    </xf>
    <xf numFmtId="0" fontId="1" fillId="0" borderId="18" xfId="0" applyFont="1" applyBorder="1" applyAlignment="1">
      <alignment horizontal="center"/>
    </xf>
    <xf numFmtId="0" fontId="1" fillId="0" borderId="22" xfId="0" applyFont="1" applyFill="1" applyBorder="1" applyAlignment="1">
      <alignment horizontal="center"/>
    </xf>
    <xf numFmtId="0" fontId="6" fillId="0" borderId="23" xfId="0" applyFont="1" applyBorder="1" applyAlignment="1">
      <alignment horizontal="center"/>
    </xf>
    <xf numFmtId="0" fontId="1" fillId="0" borderId="0" xfId="0" applyFont="1" applyAlignment="1">
      <alignment horizontal="left" vertical="center"/>
    </xf>
    <xf numFmtId="0" fontId="6" fillId="0" borderId="0" xfId="0" applyNumberFormat="1" applyFont="1" applyAlignment="1">
      <alignment horizontal="left"/>
    </xf>
    <xf numFmtId="0" fontId="6" fillId="0" borderId="0" xfId="0" applyNumberFormat="1" applyFont="1" applyAlignment="1">
      <alignment horizontal="center"/>
    </xf>
    <xf numFmtId="0" fontId="1" fillId="0" borderId="19" xfId="0" applyFont="1" applyBorder="1" applyAlignment="1">
      <alignment horizontal="center" vertical="center" wrapText="1"/>
    </xf>
    <xf numFmtId="0" fontId="8" fillId="0" borderId="24" xfId="0" applyFont="1" applyBorder="1" applyAlignment="1">
      <alignment horizontal="center"/>
    </xf>
    <xf numFmtId="165" fontId="8" fillId="0" borderId="24" xfId="0" applyNumberFormat="1" applyFont="1" applyBorder="1" applyAlignment="1">
      <alignment horizontal="center"/>
    </xf>
    <xf numFmtId="0" fontId="0" fillId="0" borderId="24" xfId="0" applyBorder="1" applyAlignment="1">
      <alignment horizontal="center"/>
    </xf>
    <xf numFmtId="165" fontId="0" fillId="0" borderId="24" xfId="0" applyNumberFormat="1" applyBorder="1" applyAlignment="1">
      <alignment horizontal="center"/>
    </xf>
    <xf numFmtId="2" fontId="0" fillId="0" borderId="24" xfId="0" applyNumberFormat="1" applyBorder="1" applyAlignment="1">
      <alignment horizontal="center"/>
    </xf>
    <xf numFmtId="165" fontId="6" fillId="0" borderId="25" xfId="0" applyNumberFormat="1" applyFont="1" applyBorder="1" applyAlignment="1">
      <alignment horizontal="center"/>
    </xf>
    <xf numFmtId="165" fontId="6" fillId="0" borderId="15" xfId="0" applyNumberFormat="1" applyFont="1" applyBorder="1" applyAlignment="1">
      <alignment horizontal="center"/>
    </xf>
    <xf numFmtId="0" fontId="6" fillId="0" borderId="25" xfId="0" applyFont="1" applyBorder="1" applyAlignment="1">
      <alignment horizontal="center"/>
    </xf>
    <xf numFmtId="0" fontId="6" fillId="0" borderId="15" xfId="0" applyFont="1" applyBorder="1" applyAlignment="1">
      <alignment horizontal="center"/>
    </xf>
    <xf numFmtId="165" fontId="1" fillId="0" borderId="11" xfId="0" applyNumberFormat="1" applyFont="1" applyBorder="1" applyAlignment="1">
      <alignment horizontal="center" vertical="center"/>
    </xf>
    <xf numFmtId="0" fontId="1" fillId="0" borderId="11" xfId="0" applyFont="1" applyBorder="1" applyAlignment="1">
      <alignment horizontal="center" vertical="center"/>
    </xf>
    <xf numFmtId="0" fontId="0" fillId="0" borderId="10" xfId="0" applyBorder="1" applyAlignment="1">
      <alignment/>
    </xf>
    <xf numFmtId="2" fontId="1" fillId="0" borderId="6" xfId="0" applyNumberFormat="1" applyFont="1" applyBorder="1" applyAlignment="1">
      <alignment horizontal="center"/>
    </xf>
    <xf numFmtId="2" fontId="14" fillId="0" borderId="6" xfId="0" applyNumberFormat="1" applyFont="1" applyBorder="1" applyAlignment="1">
      <alignment horizontal="center"/>
    </xf>
    <xf numFmtId="2" fontId="14" fillId="0" borderId="19" xfId="0" applyNumberFormat="1" applyFont="1" applyBorder="1" applyAlignment="1">
      <alignment horizontal="center"/>
    </xf>
    <xf numFmtId="2" fontId="31" fillId="0" borderId="21" xfId="0" applyNumberFormat="1" applyFont="1" applyBorder="1" applyAlignment="1">
      <alignment horizontal="center"/>
    </xf>
    <xf numFmtId="2" fontId="31" fillId="0" borderId="3" xfId="0" applyNumberFormat="1" applyFont="1" applyBorder="1" applyAlignment="1">
      <alignment horizontal="center"/>
    </xf>
    <xf numFmtId="2" fontId="31" fillId="0" borderId="2" xfId="0" applyNumberFormat="1" applyFont="1" applyBorder="1" applyAlignment="1">
      <alignment horizontal="center"/>
    </xf>
    <xf numFmtId="2" fontId="18" fillId="0" borderId="6" xfId="0" applyNumberFormat="1" applyFont="1" applyBorder="1" applyAlignment="1">
      <alignment horizontal="center" vertical="center" wrapText="1"/>
    </xf>
    <xf numFmtId="2" fontId="18" fillId="0" borderId="19" xfId="0" applyNumberFormat="1" applyFont="1" applyBorder="1" applyAlignment="1">
      <alignment horizontal="center" vertical="center" wrapText="1"/>
    </xf>
    <xf numFmtId="0" fontId="15" fillId="2" borderId="2" xfId="0" applyFont="1" applyFill="1" applyBorder="1" applyAlignment="1">
      <alignment horizontal="center"/>
    </xf>
    <xf numFmtId="0" fontId="15" fillId="2" borderId="3" xfId="0" applyFont="1" applyFill="1" applyBorder="1" applyAlignment="1">
      <alignment horizontal="center"/>
    </xf>
    <xf numFmtId="2" fontId="9" fillId="0" borderId="6" xfId="0" applyNumberFormat="1" applyFont="1" applyBorder="1" applyAlignment="1">
      <alignment horizontal="right"/>
    </xf>
    <xf numFmtId="2" fontId="9" fillId="0" borderId="8" xfId="0" applyNumberFormat="1" applyFont="1" applyBorder="1" applyAlignment="1">
      <alignment horizontal="right"/>
    </xf>
    <xf numFmtId="165" fontId="32" fillId="0" borderId="19" xfId="0" applyNumberFormat="1" applyFont="1" applyBorder="1" applyAlignment="1">
      <alignment horizontal="center"/>
    </xf>
    <xf numFmtId="165" fontId="32" fillId="0" borderId="22" xfId="0" applyNumberFormat="1" applyFont="1" applyBorder="1" applyAlignment="1">
      <alignment horizontal="center"/>
    </xf>
    <xf numFmtId="0" fontId="1" fillId="3" borderId="19" xfId="0" applyFont="1" applyFill="1" applyBorder="1" applyAlignment="1">
      <alignment horizontal="center"/>
    </xf>
    <xf numFmtId="0" fontId="0" fillId="3" borderId="0" xfId="0" applyFill="1" applyBorder="1" applyAlignment="1">
      <alignment horizontal="center"/>
    </xf>
    <xf numFmtId="0" fontId="0" fillId="3" borderId="6" xfId="0" applyFill="1" applyBorder="1" applyAlignment="1">
      <alignment/>
    </xf>
    <xf numFmtId="0" fontId="0" fillId="3" borderId="0" xfId="0" applyFill="1" applyBorder="1" applyAlignment="1">
      <alignment/>
    </xf>
    <xf numFmtId="0" fontId="0" fillId="3" borderId="19" xfId="0" applyFill="1" applyBorder="1" applyAlignment="1">
      <alignment/>
    </xf>
    <xf numFmtId="2" fontId="18" fillId="3" borderId="19" xfId="0" applyNumberFormat="1" applyFont="1" applyFill="1" applyBorder="1" applyAlignment="1">
      <alignment horizontal="center" vertical="center" wrapText="1"/>
    </xf>
    <xf numFmtId="2" fontId="14" fillId="3" borderId="19" xfId="0" applyNumberFormat="1" applyFont="1" applyFill="1" applyBorder="1" applyAlignment="1">
      <alignment horizontal="center"/>
    </xf>
    <xf numFmtId="165" fontId="32" fillId="3" borderId="19" xfId="0" applyNumberFormat="1" applyFont="1" applyFill="1" applyBorder="1" applyAlignment="1">
      <alignment horizontal="center"/>
    </xf>
    <xf numFmtId="0" fontId="0" fillId="3" borderId="8" xfId="0" applyFill="1" applyBorder="1" applyAlignment="1">
      <alignment/>
    </xf>
    <xf numFmtId="0" fontId="0" fillId="3" borderId="26" xfId="0" applyFill="1" applyBorder="1" applyAlignment="1">
      <alignment/>
    </xf>
    <xf numFmtId="0" fontId="0" fillId="3" borderId="22" xfId="0" applyFill="1" applyBorder="1" applyAlignment="1">
      <alignment/>
    </xf>
    <xf numFmtId="0" fontId="0" fillId="0" borderId="0" xfId="0" applyFill="1" applyBorder="1" applyAlignment="1">
      <alignment/>
    </xf>
    <xf numFmtId="0" fontId="0" fillId="0" borderId="27" xfId="0" applyFill="1" applyBorder="1" applyAlignment="1">
      <alignment/>
    </xf>
    <xf numFmtId="0" fontId="0" fillId="0" borderId="28" xfId="0" applyFill="1" applyBorder="1" applyAlignment="1">
      <alignment horizontal="center"/>
    </xf>
    <xf numFmtId="0" fontId="0" fillId="0" borderId="6" xfId="0" applyFill="1" applyBorder="1" applyAlignment="1">
      <alignment/>
    </xf>
    <xf numFmtId="0" fontId="1" fillId="0" borderId="6" xfId="0" applyFont="1" applyFill="1" applyBorder="1" applyAlignment="1">
      <alignment horizontal="center"/>
    </xf>
    <xf numFmtId="0" fontId="0" fillId="0" borderId="6" xfId="0" applyFill="1" applyBorder="1" applyAlignment="1">
      <alignment horizontal="center"/>
    </xf>
    <xf numFmtId="0" fontId="0" fillId="0" borderId="6" xfId="0" applyFill="1" applyBorder="1" applyAlignment="1">
      <alignment/>
    </xf>
    <xf numFmtId="0" fontId="0" fillId="0" borderId="8" xfId="0" applyFill="1" applyBorder="1" applyAlignment="1">
      <alignment/>
    </xf>
    <xf numFmtId="0" fontId="30" fillId="0" borderId="29" xfId="0" applyFont="1" applyFill="1" applyBorder="1" applyAlignment="1">
      <alignment horizontal="center"/>
    </xf>
    <xf numFmtId="0" fontId="0" fillId="0" borderId="30" xfId="0" applyFill="1" applyBorder="1" applyAlignment="1">
      <alignment/>
    </xf>
    <xf numFmtId="0" fontId="0" fillId="0" borderId="31" xfId="0" applyFill="1" applyBorder="1" applyAlignment="1">
      <alignment horizontal="center"/>
    </xf>
    <xf numFmtId="0" fontId="0" fillId="0" borderId="32" xfId="0" applyFill="1" applyBorder="1" applyAlignment="1">
      <alignment horizontal="center"/>
    </xf>
    <xf numFmtId="0" fontId="1" fillId="0" borderId="19" xfId="0" applyFont="1" applyFill="1" applyBorder="1" applyAlignment="1">
      <alignment horizontal="center"/>
    </xf>
    <xf numFmtId="0" fontId="0" fillId="0" borderId="0" xfId="0" applyFill="1" applyBorder="1" applyAlignment="1">
      <alignment horizontal="center"/>
    </xf>
    <xf numFmtId="0" fontId="0" fillId="0" borderId="26" xfId="0" applyFill="1" applyBorder="1" applyAlignment="1">
      <alignment/>
    </xf>
    <xf numFmtId="0" fontId="0" fillId="0" borderId="19" xfId="0" applyFill="1" applyBorder="1" applyAlignment="1">
      <alignment/>
    </xf>
    <xf numFmtId="0" fontId="0" fillId="0" borderId="19" xfId="0" applyFill="1" applyBorder="1" applyAlignment="1">
      <alignment horizontal="center"/>
    </xf>
    <xf numFmtId="0" fontId="0" fillId="0" borderId="19" xfId="0" applyFill="1" applyBorder="1" applyAlignment="1">
      <alignment/>
    </xf>
    <xf numFmtId="0" fontId="0" fillId="0" borderId="22" xfId="0" applyFill="1" applyBorder="1" applyAlignment="1">
      <alignment/>
    </xf>
    <xf numFmtId="0" fontId="0" fillId="0" borderId="0" xfId="0" applyFill="1" applyAlignment="1">
      <alignment/>
    </xf>
    <xf numFmtId="0" fontId="0" fillId="3" borderId="5" xfId="0" applyFill="1" applyBorder="1" applyAlignment="1">
      <alignment/>
    </xf>
    <xf numFmtId="0" fontId="5" fillId="3" borderId="24" xfId="0" applyFont="1" applyFill="1" applyBorder="1" applyAlignment="1">
      <alignment horizontal="left" vertical="center"/>
    </xf>
    <xf numFmtId="0" fontId="0" fillId="3" borderId="24" xfId="0" applyFill="1" applyBorder="1" applyAlignment="1">
      <alignment/>
    </xf>
    <xf numFmtId="0" fontId="0" fillId="3" borderId="33" xfId="0" applyFill="1" applyBorder="1" applyAlignment="1">
      <alignment/>
    </xf>
    <xf numFmtId="0" fontId="0" fillId="3" borderId="19" xfId="0" applyFont="1" applyFill="1" applyBorder="1" applyAlignment="1">
      <alignment horizontal="center"/>
    </xf>
    <xf numFmtId="0" fontId="9" fillId="3" borderId="19" xfId="0" applyFont="1" applyFill="1" applyBorder="1" applyAlignment="1">
      <alignment horizontal="center"/>
    </xf>
    <xf numFmtId="165" fontId="9" fillId="3" borderId="19" xfId="0" applyNumberFormat="1" applyFont="1" applyFill="1" applyBorder="1" applyAlignment="1">
      <alignment horizontal="center"/>
    </xf>
    <xf numFmtId="164" fontId="9" fillId="3" borderId="19" xfId="0" applyNumberFormat="1" applyFont="1" applyFill="1" applyBorder="1" applyAlignment="1">
      <alignment horizontal="center"/>
    </xf>
    <xf numFmtId="2" fontId="1" fillId="3" borderId="19" xfId="0" applyNumberFormat="1" applyFont="1" applyFill="1" applyBorder="1" applyAlignment="1">
      <alignment horizontal="center"/>
    </xf>
    <xf numFmtId="2" fontId="31" fillId="3" borderId="19" xfId="0" applyNumberFormat="1" applyFont="1" applyFill="1" applyBorder="1" applyAlignment="1">
      <alignment horizontal="center"/>
    </xf>
    <xf numFmtId="0" fontId="15" fillId="3" borderId="19" xfId="0" applyFont="1" applyFill="1" applyBorder="1" applyAlignment="1">
      <alignment horizontal="center"/>
    </xf>
    <xf numFmtId="0" fontId="8" fillId="2" borderId="18" xfId="0" applyFont="1" applyFill="1" applyBorder="1" applyAlignment="1" applyProtection="1">
      <alignment horizontal="center"/>
      <protection locked="0"/>
    </xf>
    <xf numFmtId="0" fontId="8" fillId="2" borderId="18" xfId="0" applyNumberFormat="1" applyFont="1" applyFill="1" applyBorder="1" applyAlignment="1" applyProtection="1">
      <alignment horizontal="center"/>
      <protection locked="0"/>
    </xf>
    <xf numFmtId="165" fontId="8" fillId="2" borderId="18" xfId="0" applyNumberFormat="1" applyFont="1" applyFill="1" applyBorder="1" applyAlignment="1" applyProtection="1">
      <alignment horizontal="center"/>
      <protection locked="0"/>
    </xf>
    <xf numFmtId="0" fontId="15" fillId="2" borderId="2" xfId="0" applyFont="1" applyFill="1" applyBorder="1" applyAlignment="1" applyProtection="1">
      <alignment horizontal="center"/>
      <protection locked="0"/>
    </xf>
    <xf numFmtId="0" fontId="15" fillId="2" borderId="3" xfId="0" applyFont="1" applyFill="1" applyBorder="1" applyAlignment="1" applyProtection="1">
      <alignment horizontal="center"/>
      <protection locked="0"/>
    </xf>
    <xf numFmtId="0" fontId="9" fillId="0" borderId="1" xfId="0" applyFont="1" applyBorder="1" applyAlignment="1" applyProtection="1">
      <alignment horizontal="center"/>
      <protection hidden="1"/>
    </xf>
    <xf numFmtId="165" fontId="9" fillId="0" borderId="1" xfId="0" applyNumberFormat="1" applyFont="1" applyBorder="1" applyAlignment="1" applyProtection="1">
      <alignment horizontal="center"/>
      <protection hidden="1"/>
    </xf>
    <xf numFmtId="164" fontId="9" fillId="0" borderId="1" xfId="0" applyNumberFormat="1" applyFont="1" applyBorder="1" applyAlignment="1" applyProtection="1">
      <alignment horizontal="center"/>
      <protection hidden="1"/>
    </xf>
    <xf numFmtId="165" fontId="32" fillId="0" borderId="19" xfId="0" applyNumberFormat="1" applyFont="1" applyBorder="1" applyAlignment="1" applyProtection="1">
      <alignment horizontal="center"/>
      <protection hidden="1"/>
    </xf>
    <xf numFmtId="165" fontId="32" fillId="0" borderId="22" xfId="0" applyNumberFormat="1" applyFont="1" applyBorder="1" applyAlignment="1" applyProtection="1">
      <alignment horizontal="center"/>
      <protection hidden="1"/>
    </xf>
    <xf numFmtId="0" fontId="4" fillId="2" borderId="34"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9" fontId="8" fillId="2" borderId="36" xfId="0" applyNumberFormat="1" applyFont="1" applyFill="1" applyBorder="1" applyAlignment="1" applyProtection="1">
      <alignment horizontal="center" vertical="center"/>
      <protection locked="0"/>
    </xf>
    <xf numFmtId="2" fontId="0" fillId="0" borderId="37" xfId="0" applyNumberFormat="1" applyBorder="1" applyAlignment="1" applyProtection="1">
      <alignment horizontal="center"/>
      <protection hidden="1"/>
    </xf>
    <xf numFmtId="2" fontId="0" fillId="0" borderId="38" xfId="0" applyNumberFormat="1" applyBorder="1" applyAlignment="1" applyProtection="1">
      <alignment horizontal="center"/>
      <protection hidden="1"/>
    </xf>
    <xf numFmtId="2" fontId="0" fillId="0" borderId="18" xfId="0" applyNumberFormat="1" applyBorder="1" applyAlignment="1" applyProtection="1">
      <alignment horizontal="center"/>
      <protection hidden="1"/>
    </xf>
    <xf numFmtId="2" fontId="0" fillId="0" borderId="39" xfId="0" applyNumberFormat="1" applyBorder="1" applyAlignment="1" applyProtection="1">
      <alignment horizontal="center"/>
      <protection hidden="1"/>
    </xf>
    <xf numFmtId="165" fontId="0" fillId="0" borderId="6" xfId="0" applyNumberFormat="1" applyBorder="1" applyAlignment="1" applyProtection="1">
      <alignment horizontal="center"/>
      <protection hidden="1"/>
    </xf>
    <xf numFmtId="0" fontId="0" fillId="0" borderId="16" xfId="0" applyBorder="1" applyAlignment="1" applyProtection="1">
      <alignment horizontal="center"/>
      <protection hidden="1"/>
    </xf>
    <xf numFmtId="165" fontId="0" fillId="0" borderId="40" xfId="0" applyNumberFormat="1" applyBorder="1" applyAlignment="1" applyProtection="1">
      <alignment horizontal="center"/>
      <protection hidden="1"/>
    </xf>
    <xf numFmtId="165" fontId="0" fillId="0" borderId="16" xfId="0" applyNumberFormat="1" applyBorder="1" applyAlignment="1" applyProtection="1">
      <alignment horizontal="center"/>
      <protection hidden="1"/>
    </xf>
    <xf numFmtId="165" fontId="0" fillId="0" borderId="18" xfId="0" applyNumberFormat="1" applyBorder="1" applyAlignment="1" applyProtection="1">
      <alignment horizontal="center"/>
      <protection hidden="1"/>
    </xf>
    <xf numFmtId="0" fontId="0" fillId="0" borderId="17" xfId="0" applyBorder="1" applyAlignment="1" applyProtection="1">
      <alignment horizontal="center"/>
      <protection hidden="1"/>
    </xf>
    <xf numFmtId="165" fontId="0" fillId="0" borderId="13" xfId="0" applyNumberFormat="1" applyBorder="1" applyAlignment="1" applyProtection="1">
      <alignment horizontal="center"/>
      <protection hidden="1"/>
    </xf>
    <xf numFmtId="165" fontId="0" fillId="0" borderId="17" xfId="0" applyNumberFormat="1" applyBorder="1" applyAlignment="1" applyProtection="1">
      <alignment horizontal="center"/>
      <protection hidden="1"/>
    </xf>
    <xf numFmtId="165" fontId="0" fillId="0" borderId="25" xfId="0" applyNumberFormat="1" applyBorder="1" applyAlignment="1" applyProtection="1">
      <alignment horizontal="center"/>
      <protection hidden="1"/>
    </xf>
    <xf numFmtId="165" fontId="0" fillId="0" borderId="15" xfId="0" applyNumberFormat="1" applyBorder="1" applyAlignment="1" applyProtection="1">
      <alignment horizontal="center"/>
      <protection hidden="1"/>
    </xf>
    <xf numFmtId="0" fontId="8" fillId="2" borderId="41" xfId="0" applyFont="1" applyFill="1" applyBorder="1" applyAlignment="1" applyProtection="1">
      <alignment horizontal="center"/>
      <protection locked="0"/>
    </xf>
    <xf numFmtId="0" fontId="8" fillId="2" borderId="42" xfId="0" applyFont="1" applyFill="1" applyBorder="1" applyAlignment="1" applyProtection="1">
      <alignment horizontal="center"/>
      <protection locked="0"/>
    </xf>
    <xf numFmtId="0" fontId="8" fillId="2" borderId="3" xfId="0" applyFont="1" applyFill="1" applyBorder="1" applyAlignment="1" applyProtection="1">
      <alignment horizontal="center"/>
      <protection locked="0"/>
    </xf>
    <xf numFmtId="0" fontId="8" fillId="2" borderId="11" xfId="0" applyFont="1" applyFill="1" applyBorder="1" applyAlignment="1" applyProtection="1">
      <alignment horizontal="center"/>
      <protection locked="0"/>
    </xf>
    <xf numFmtId="0" fontId="8" fillId="2" borderId="14" xfId="0" applyFont="1" applyFill="1" applyBorder="1" applyAlignment="1" applyProtection="1">
      <alignment horizontal="center"/>
      <protection locked="0"/>
    </xf>
    <xf numFmtId="0" fontId="8" fillId="2" borderId="1" xfId="0" applyFont="1" applyFill="1" applyBorder="1" applyAlignment="1" applyProtection="1">
      <alignment horizontal="center"/>
      <protection locked="0"/>
    </xf>
    <xf numFmtId="0" fontId="29" fillId="0" borderId="41" xfId="0" applyFont="1" applyFill="1" applyBorder="1" applyAlignment="1" applyProtection="1">
      <alignment horizontal="center"/>
      <protection hidden="1"/>
    </xf>
    <xf numFmtId="0" fontId="29" fillId="0" borderId="11" xfId="0" applyFont="1" applyFill="1" applyBorder="1" applyAlignment="1" applyProtection="1">
      <alignment horizontal="center"/>
      <protection hidden="1"/>
    </xf>
    <xf numFmtId="0" fontId="6" fillId="0" borderId="34" xfId="0" applyFont="1" applyBorder="1" applyAlignment="1" applyProtection="1">
      <alignment horizontal="center" vertical="center"/>
      <protection hidden="1"/>
    </xf>
    <xf numFmtId="0" fontId="8" fillId="2" borderId="34" xfId="0" applyFont="1" applyFill="1" applyBorder="1" applyAlignment="1" applyProtection="1">
      <alignment horizontal="center" vertical="center"/>
      <protection locked="0"/>
    </xf>
    <xf numFmtId="2" fontId="1" fillId="0" borderId="1" xfId="0" applyNumberFormat="1" applyFont="1" applyBorder="1" applyAlignment="1">
      <alignment horizontal="center" vertical="center"/>
    </xf>
    <xf numFmtId="165" fontId="0" fillId="0" borderId="33" xfId="0" applyNumberFormat="1" applyBorder="1" applyAlignment="1" applyProtection="1">
      <alignment horizontal="center"/>
      <protection hidden="1"/>
    </xf>
    <xf numFmtId="165" fontId="0" fillId="0" borderId="19" xfId="0" applyNumberFormat="1" applyBorder="1" applyAlignment="1" applyProtection="1">
      <alignment horizontal="center"/>
      <protection hidden="1"/>
    </xf>
    <xf numFmtId="165" fontId="0" fillId="0" borderId="22" xfId="0" applyNumberFormat="1" applyBorder="1" applyAlignment="1" applyProtection="1">
      <alignment horizontal="center"/>
      <protection hidden="1"/>
    </xf>
    <xf numFmtId="2" fontId="8" fillId="0" borderId="2" xfId="0" applyNumberFormat="1" applyFont="1" applyBorder="1" applyAlignment="1" applyProtection="1">
      <alignment horizontal="center" vertical="center"/>
      <protection hidden="1"/>
    </xf>
    <xf numFmtId="2" fontId="8" fillId="0" borderId="43" xfId="0" applyNumberFormat="1" applyFont="1" applyBorder="1" applyAlignment="1" applyProtection="1">
      <alignment horizontal="center" vertical="center"/>
      <protection hidden="1"/>
    </xf>
    <xf numFmtId="2" fontId="8" fillId="0" borderId="18" xfId="0" applyNumberFormat="1" applyFont="1" applyBorder="1" applyAlignment="1" applyProtection="1">
      <alignment horizontal="center" vertical="center"/>
      <protection hidden="1"/>
    </xf>
    <xf numFmtId="2" fontId="8" fillId="0" borderId="22" xfId="0" applyNumberFormat="1" applyFont="1" applyBorder="1" applyAlignment="1" applyProtection="1">
      <alignment horizontal="center" vertical="center"/>
      <protection hidden="1"/>
    </xf>
    <xf numFmtId="2" fontId="8" fillId="0" borderId="5" xfId="0" applyNumberFormat="1" applyFont="1" applyBorder="1" applyAlignment="1" applyProtection="1">
      <alignment horizontal="center" vertical="center"/>
      <protection hidden="1"/>
    </xf>
    <xf numFmtId="0" fontId="8" fillId="0" borderId="19" xfId="0" applyFont="1" applyBorder="1" applyAlignment="1" applyProtection="1">
      <alignment horizontal="center"/>
      <protection hidden="1"/>
    </xf>
    <xf numFmtId="2" fontId="8" fillId="0" borderId="0" xfId="0" applyNumberFormat="1" applyFont="1" applyBorder="1" applyAlignment="1" applyProtection="1">
      <alignment horizontal="center" vertical="center"/>
      <protection hidden="1"/>
    </xf>
    <xf numFmtId="2" fontId="8" fillId="0" borderId="44" xfId="0" applyNumberFormat="1" applyFont="1" applyBorder="1" applyAlignment="1" applyProtection="1">
      <alignment horizontal="center" vertical="center"/>
      <protection hidden="1"/>
    </xf>
    <xf numFmtId="0" fontId="8" fillId="0" borderId="45" xfId="0" applyFont="1" applyBorder="1" applyAlignment="1" applyProtection="1">
      <alignment horizontal="center" vertical="center"/>
      <protection hidden="1"/>
    </xf>
    <xf numFmtId="0" fontId="8" fillId="0" borderId="34" xfId="0" applyFont="1" applyBorder="1" applyAlignment="1" applyProtection="1">
      <alignment horizontal="center" vertical="center"/>
      <protection hidden="1"/>
    </xf>
    <xf numFmtId="2" fontId="8" fillId="0" borderId="27" xfId="0" applyNumberFormat="1" applyFont="1" applyBorder="1" applyAlignment="1" applyProtection="1">
      <alignment horizontal="center" vertical="center"/>
      <protection hidden="1"/>
    </xf>
    <xf numFmtId="0" fontId="8" fillId="0" borderId="30" xfId="0" applyFont="1" applyBorder="1" applyAlignment="1" applyProtection="1">
      <alignment horizontal="center" vertical="center"/>
      <protection hidden="1"/>
    </xf>
    <xf numFmtId="181" fontId="8" fillId="0" borderId="46" xfId="0" applyNumberFormat="1" applyFont="1" applyBorder="1" applyAlignment="1" applyProtection="1">
      <alignment horizontal="center" vertical="center"/>
      <protection hidden="1"/>
    </xf>
    <xf numFmtId="176" fontId="8" fillId="0" borderId="47" xfId="0" applyNumberFormat="1" applyFont="1" applyBorder="1" applyAlignment="1" applyProtection="1">
      <alignment horizontal="center" vertical="center"/>
      <protection hidden="1"/>
    </xf>
    <xf numFmtId="0" fontId="1" fillId="0" borderId="0" xfId="0" applyFont="1" applyBorder="1" applyAlignment="1" applyProtection="1">
      <alignment horizontal="center" wrapText="1"/>
      <protection hidden="1"/>
    </xf>
    <xf numFmtId="183" fontId="0" fillId="0" borderId="0" xfId="0" applyNumberFormat="1" applyFont="1" applyBorder="1" applyAlignment="1" applyProtection="1">
      <alignment horizontal="center"/>
      <protection hidden="1"/>
    </xf>
    <xf numFmtId="184" fontId="8" fillId="0" borderId="19" xfId="0" applyNumberFormat="1" applyFont="1" applyBorder="1" applyAlignment="1" applyProtection="1">
      <alignment horizontal="center"/>
      <protection hidden="1"/>
    </xf>
    <xf numFmtId="0" fontId="0" fillId="0" borderId="26" xfId="0" applyFont="1" applyBorder="1" applyAlignment="1" applyProtection="1">
      <alignment horizontal="center"/>
      <protection hidden="1"/>
    </xf>
    <xf numFmtId="184" fontId="8" fillId="0" borderId="22" xfId="0" applyNumberFormat="1" applyFont="1" applyBorder="1" applyAlignment="1" applyProtection="1">
      <alignment horizontal="center"/>
      <protection hidden="1"/>
    </xf>
    <xf numFmtId="2" fontId="1" fillId="0" borderId="48" xfId="0" applyNumberFormat="1" applyFont="1" applyBorder="1" applyAlignment="1" applyProtection="1">
      <alignment horizontal="center"/>
      <protection hidden="1"/>
    </xf>
    <xf numFmtId="2" fontId="1" fillId="0" borderId="49" xfId="0" applyNumberFormat="1" applyFont="1" applyBorder="1" applyAlignment="1" applyProtection="1">
      <alignment horizontal="center"/>
      <protection hidden="1"/>
    </xf>
    <xf numFmtId="0" fontId="6" fillId="0" borderId="6" xfId="0" applyFont="1" applyBorder="1" applyAlignment="1" applyProtection="1">
      <alignment horizontal="center"/>
      <protection hidden="1"/>
    </xf>
    <xf numFmtId="0" fontId="6" fillId="0" borderId="50" xfId="0" applyFont="1" applyFill="1" applyBorder="1" applyAlignment="1" applyProtection="1">
      <alignment horizontal="center"/>
      <protection hidden="1"/>
    </xf>
    <xf numFmtId="0" fontId="6" fillId="0" borderId="51" xfId="0" applyFont="1" applyFill="1" applyBorder="1" applyAlignment="1" applyProtection="1">
      <alignment horizontal="center"/>
      <protection hidden="1"/>
    </xf>
    <xf numFmtId="0" fontId="6" fillId="0" borderId="52" xfId="0" applyFont="1" applyFill="1" applyBorder="1" applyAlignment="1" applyProtection="1">
      <alignment horizontal="center"/>
      <protection hidden="1"/>
    </xf>
    <xf numFmtId="165" fontId="0" fillId="0" borderId="0" xfId="0" applyNumberFormat="1" applyFont="1" applyBorder="1" applyAlignment="1" applyProtection="1">
      <alignment horizontal="center"/>
      <protection hidden="1"/>
    </xf>
    <xf numFmtId="0" fontId="0" fillId="0" borderId="37" xfId="0" applyFont="1" applyBorder="1" applyAlignment="1" applyProtection="1">
      <alignment horizontal="center"/>
      <protection hidden="1"/>
    </xf>
    <xf numFmtId="165" fontId="0" fillId="0" borderId="16" xfId="0" applyNumberFormat="1" applyFont="1" applyBorder="1" applyAlignment="1" applyProtection="1">
      <alignment horizontal="center"/>
      <protection hidden="1"/>
    </xf>
    <xf numFmtId="165" fontId="0" fillId="0" borderId="40" xfId="0" applyNumberFormat="1" applyFont="1" applyBorder="1" applyAlignment="1" applyProtection="1">
      <alignment horizontal="center"/>
      <protection hidden="1"/>
    </xf>
    <xf numFmtId="165" fontId="0" fillId="0" borderId="17" xfId="0" applyNumberFormat="1" applyFont="1" applyBorder="1" applyAlignment="1" applyProtection="1">
      <alignment horizontal="center"/>
      <protection hidden="1"/>
    </xf>
    <xf numFmtId="165" fontId="0" fillId="0" borderId="13" xfId="0" applyNumberFormat="1" applyFont="1" applyBorder="1" applyAlignment="1" applyProtection="1">
      <alignment horizontal="center"/>
      <protection hidden="1"/>
    </xf>
    <xf numFmtId="2" fontId="1" fillId="0" borderId="53" xfId="0" applyNumberFormat="1" applyFont="1" applyBorder="1" applyAlignment="1" applyProtection="1">
      <alignment horizontal="center"/>
      <protection hidden="1"/>
    </xf>
    <xf numFmtId="2" fontId="1" fillId="0" borderId="54" xfId="0" applyNumberFormat="1" applyFont="1" applyBorder="1" applyAlignment="1" applyProtection="1">
      <alignment horizontal="center"/>
      <protection hidden="1"/>
    </xf>
    <xf numFmtId="165" fontId="6" fillId="0" borderId="0" xfId="0" applyNumberFormat="1" applyFont="1" applyBorder="1" applyAlignment="1" applyProtection="1">
      <alignment horizontal="center"/>
      <protection hidden="1"/>
    </xf>
    <xf numFmtId="165" fontId="6" fillId="0" borderId="16" xfId="0" applyNumberFormat="1" applyFont="1" applyBorder="1" applyAlignment="1" applyProtection="1">
      <alignment horizontal="center"/>
      <protection hidden="1"/>
    </xf>
    <xf numFmtId="165" fontId="6" fillId="0" borderId="52" xfId="0" applyNumberFormat="1" applyFont="1" applyBorder="1" applyAlignment="1" applyProtection="1">
      <alignment horizontal="center"/>
      <protection hidden="1"/>
    </xf>
    <xf numFmtId="165" fontId="0" fillId="0" borderId="0" xfId="0" applyNumberFormat="1" applyBorder="1" applyAlignment="1" applyProtection="1">
      <alignment horizontal="center"/>
      <protection hidden="1"/>
    </xf>
    <xf numFmtId="0" fontId="0" fillId="0" borderId="27" xfId="0" applyBorder="1" applyAlignment="1" applyProtection="1">
      <alignment horizontal="center" vertical="center"/>
      <protection hidden="1"/>
    </xf>
    <xf numFmtId="0" fontId="0" fillId="0" borderId="21" xfId="0"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0" fillId="0" borderId="44" xfId="0" applyBorder="1" applyAlignment="1" applyProtection="1">
      <alignment horizontal="center" vertical="center"/>
      <protection hidden="1"/>
    </xf>
    <xf numFmtId="0" fontId="1" fillId="0" borderId="55" xfId="0" applyFont="1" applyBorder="1" applyAlignment="1" applyProtection="1">
      <alignment horizontal="center"/>
      <protection hidden="1"/>
    </xf>
    <xf numFmtId="0" fontId="1" fillId="0" borderId="49" xfId="0" applyFont="1" applyFill="1" applyBorder="1" applyAlignment="1" applyProtection="1">
      <alignment horizontal="center"/>
      <protection hidden="1"/>
    </xf>
    <xf numFmtId="0" fontId="1" fillId="0" borderId="54" xfId="0" applyFont="1" applyBorder="1" applyAlignment="1" applyProtection="1">
      <alignment horizontal="center"/>
      <protection hidden="1"/>
    </xf>
    <xf numFmtId="0" fontId="0" fillId="0" borderId="37" xfId="0" applyBorder="1" applyAlignment="1" applyProtection="1">
      <alignment horizontal="center"/>
      <protection hidden="1"/>
    </xf>
    <xf numFmtId="0" fontId="0" fillId="0" borderId="38"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39" xfId="0" applyBorder="1" applyAlignment="1" applyProtection="1">
      <alignment horizontal="center"/>
      <protection hidden="1"/>
    </xf>
    <xf numFmtId="2" fontId="13" fillId="0" borderId="6" xfId="0" applyNumberFormat="1" applyFont="1" applyBorder="1" applyAlignment="1">
      <alignment horizontal="center"/>
    </xf>
    <xf numFmtId="2" fontId="0" fillId="0" borderId="6" xfId="0" applyNumberFormat="1" applyBorder="1" applyAlignment="1">
      <alignment horizontal="center"/>
    </xf>
    <xf numFmtId="181" fontId="8" fillId="0" borderId="0" xfId="0" applyNumberFormat="1" applyFont="1" applyBorder="1" applyAlignment="1" applyProtection="1">
      <alignment horizontal="center" vertical="center"/>
      <protection hidden="1"/>
    </xf>
    <xf numFmtId="176" fontId="8" fillId="0" borderId="0" xfId="0" applyNumberFormat="1" applyFont="1" applyBorder="1" applyAlignment="1" applyProtection="1">
      <alignment horizontal="center" vertical="center"/>
      <protection hidden="1"/>
    </xf>
    <xf numFmtId="0" fontId="30" fillId="0" borderId="0" xfId="0" applyFont="1" applyBorder="1" applyAlignment="1" applyProtection="1">
      <alignment horizontal="center"/>
      <protection hidden="1"/>
    </xf>
    <xf numFmtId="0" fontId="8" fillId="0" borderId="0" xfId="0" applyFont="1" applyBorder="1" applyAlignment="1" applyProtection="1">
      <alignment horizontal="center"/>
      <protection hidden="1"/>
    </xf>
    <xf numFmtId="184" fontId="8" fillId="0" borderId="0" xfId="0" applyNumberFormat="1" applyFont="1" applyBorder="1" applyAlignment="1" applyProtection="1">
      <alignment horizontal="center"/>
      <protection hidden="1"/>
    </xf>
    <xf numFmtId="2" fontId="8" fillId="0" borderId="56" xfId="0" applyNumberFormat="1" applyFont="1" applyBorder="1" applyAlignment="1" applyProtection="1">
      <alignment horizontal="center" vertical="center"/>
      <protection hidden="1"/>
    </xf>
    <xf numFmtId="2" fontId="8" fillId="0" borderId="6" xfId="0" applyNumberFormat="1" applyFont="1" applyBorder="1" applyAlignment="1" applyProtection="1">
      <alignment horizontal="center" vertical="center"/>
      <protection hidden="1"/>
    </xf>
    <xf numFmtId="165" fontId="8" fillId="0" borderId="6" xfId="0" applyNumberFormat="1" applyFont="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2" fontId="8" fillId="0" borderId="57" xfId="0" applyNumberFormat="1" applyFont="1" applyBorder="1" applyAlignment="1" applyProtection="1">
      <alignment horizontal="center" vertical="center"/>
      <protection hidden="1"/>
    </xf>
    <xf numFmtId="2" fontId="8" fillId="0" borderId="45" xfId="0" applyNumberFormat="1" applyFont="1" applyBorder="1" applyAlignment="1" applyProtection="1">
      <alignment horizontal="center" vertical="center"/>
      <protection hidden="1"/>
    </xf>
    <xf numFmtId="2" fontId="8" fillId="0" borderId="19" xfId="0" applyNumberFormat="1" applyFont="1" applyBorder="1" applyAlignment="1" applyProtection="1">
      <alignment horizontal="center" vertical="center"/>
      <protection hidden="1"/>
    </xf>
    <xf numFmtId="0" fontId="1" fillId="0" borderId="58" xfId="0" applyFont="1" applyBorder="1" applyAlignment="1">
      <alignment horizontal="center"/>
    </xf>
    <xf numFmtId="0" fontId="1" fillId="0" borderId="59" xfId="0" applyFont="1" applyBorder="1" applyAlignment="1">
      <alignment horizontal="center"/>
    </xf>
    <xf numFmtId="0" fontId="1" fillId="0" borderId="60" xfId="0" applyFont="1" applyBorder="1" applyAlignment="1">
      <alignment horizontal="center"/>
    </xf>
    <xf numFmtId="2" fontId="8" fillId="0" borderId="26" xfId="0" applyNumberFormat="1" applyFont="1" applyBorder="1" applyAlignment="1" applyProtection="1">
      <alignment horizontal="center" vertical="center"/>
      <protection hidden="1"/>
    </xf>
    <xf numFmtId="0" fontId="8" fillId="0" borderId="38" xfId="0" applyFont="1" applyBorder="1" applyAlignment="1" applyProtection="1">
      <alignment horizontal="center" vertical="center"/>
      <protection hidden="1"/>
    </xf>
    <xf numFmtId="0" fontId="0" fillId="0" borderId="61" xfId="0" applyBorder="1" applyAlignment="1" applyProtection="1">
      <alignment horizontal="center" vertical="center"/>
      <protection hidden="1"/>
    </xf>
    <xf numFmtId="0" fontId="8" fillId="2" borderId="6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9" fontId="8" fillId="2" borderId="1" xfId="0" applyNumberFormat="1" applyFont="1" applyFill="1" applyBorder="1" applyAlignment="1" applyProtection="1">
      <alignment horizontal="center" vertical="center"/>
      <protection locked="0"/>
    </xf>
    <xf numFmtId="0" fontId="1" fillId="0" borderId="63" xfId="0" applyFont="1" applyBorder="1" applyAlignment="1" applyProtection="1">
      <alignment horizontal="center" wrapText="1"/>
      <protection hidden="1"/>
    </xf>
    <xf numFmtId="0" fontId="8" fillId="0" borderId="43"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8" fillId="0" borderId="39" xfId="0" applyFont="1" applyBorder="1" applyAlignment="1" applyProtection="1">
      <alignment horizontal="center" vertical="center"/>
      <protection hidden="1"/>
    </xf>
    <xf numFmtId="0" fontId="4" fillId="2" borderId="34" xfId="0" applyFont="1" applyFill="1" applyBorder="1" applyAlignment="1" applyProtection="1">
      <alignment horizontal="center" vertical="center"/>
      <protection/>
    </xf>
    <xf numFmtId="0" fontId="0" fillId="0" borderId="0" xfId="0" applyAlignment="1" applyProtection="1">
      <alignment horizontal="left" vertical="center"/>
      <protection/>
    </xf>
    <xf numFmtId="0" fontId="5" fillId="0" borderId="0" xfId="0" applyFont="1" applyAlignment="1" applyProtection="1">
      <alignment horizontal="left" vertical="center"/>
      <protection/>
    </xf>
    <xf numFmtId="0" fontId="8" fillId="0" borderId="0" xfId="0" applyFont="1" applyAlignment="1" applyProtection="1">
      <alignment horizontal="center"/>
      <protection/>
    </xf>
    <xf numFmtId="0" fontId="0" fillId="0" borderId="0" xfId="0" applyAlignment="1" applyProtection="1">
      <alignment horizontal="center"/>
      <protection/>
    </xf>
    <xf numFmtId="0" fontId="7" fillId="0" borderId="12"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6" fillId="0" borderId="23" xfId="0" applyFont="1" applyBorder="1" applyAlignment="1" applyProtection="1">
      <alignment horizontal="center"/>
      <protection/>
    </xf>
    <xf numFmtId="0" fontId="6" fillId="0" borderId="4" xfId="0" applyFont="1" applyFill="1" applyBorder="1" applyAlignment="1" applyProtection="1">
      <alignment horizontal="center"/>
      <protection/>
    </xf>
    <xf numFmtId="0" fontId="6" fillId="0" borderId="15" xfId="0" applyFont="1" applyFill="1" applyBorder="1" applyAlignment="1" applyProtection="1">
      <alignment horizontal="center"/>
      <protection/>
    </xf>
    <xf numFmtId="0" fontId="6" fillId="0" borderId="16" xfId="0" applyFont="1" applyFill="1" applyBorder="1" applyAlignment="1" applyProtection="1">
      <alignment horizontal="center"/>
      <protection/>
    </xf>
    <xf numFmtId="0" fontId="6" fillId="0" borderId="4" xfId="0" applyFont="1" applyBorder="1" applyAlignment="1" applyProtection="1">
      <alignment horizontal="center"/>
      <protection/>
    </xf>
    <xf numFmtId="0" fontId="6" fillId="0" borderId="20" xfId="0" applyFont="1" applyBorder="1" applyAlignment="1" applyProtection="1">
      <alignment horizontal="center"/>
      <protection/>
    </xf>
    <xf numFmtId="165" fontId="6" fillId="0" borderId="6" xfId="0" applyNumberFormat="1" applyFont="1" applyBorder="1" applyAlignment="1" applyProtection="1">
      <alignment horizontal="center"/>
      <protection/>
    </xf>
    <xf numFmtId="0" fontId="29" fillId="0" borderId="41" xfId="0" applyFont="1" applyFill="1" applyBorder="1" applyAlignment="1" applyProtection="1">
      <alignment horizontal="center"/>
      <protection/>
    </xf>
    <xf numFmtId="0" fontId="8" fillId="2" borderId="41" xfId="0" applyFont="1" applyFill="1" applyBorder="1" applyAlignment="1" applyProtection="1">
      <alignment horizontal="center"/>
      <protection/>
    </xf>
    <xf numFmtId="0" fontId="8" fillId="2" borderId="42" xfId="0" applyFont="1" applyFill="1" applyBorder="1" applyAlignment="1" applyProtection="1">
      <alignment horizontal="center"/>
      <protection/>
    </xf>
    <xf numFmtId="0" fontId="8" fillId="2" borderId="3" xfId="0" applyFont="1" applyFill="1" applyBorder="1" applyAlignment="1" applyProtection="1">
      <alignment horizontal="center"/>
      <protection/>
    </xf>
    <xf numFmtId="165" fontId="0" fillId="0" borderId="6" xfId="0" applyNumberFormat="1" applyBorder="1" applyAlignment="1" applyProtection="1">
      <alignment horizontal="center"/>
      <protection/>
    </xf>
    <xf numFmtId="0" fontId="1" fillId="0" borderId="0" xfId="0" applyFont="1" applyAlignment="1" applyProtection="1">
      <alignment horizontal="center"/>
      <protection/>
    </xf>
    <xf numFmtId="0" fontId="29" fillId="0" borderId="11" xfId="0" applyFont="1" applyFill="1" applyBorder="1" applyAlignment="1" applyProtection="1">
      <alignment horizontal="center"/>
      <protection/>
    </xf>
    <xf numFmtId="0" fontId="8" fillId="2" borderId="11" xfId="0" applyFont="1" applyFill="1" applyBorder="1" applyAlignment="1" applyProtection="1">
      <alignment horizontal="center"/>
      <protection/>
    </xf>
    <xf numFmtId="0" fontId="8" fillId="2" borderId="14" xfId="0" applyFont="1" applyFill="1" applyBorder="1" applyAlignment="1" applyProtection="1">
      <alignment horizontal="center"/>
      <protection/>
    </xf>
    <xf numFmtId="0" fontId="8" fillId="2" borderId="1" xfId="0" applyFont="1" applyFill="1" applyBorder="1" applyAlignment="1" applyProtection="1">
      <alignment horizontal="center"/>
      <protection/>
    </xf>
    <xf numFmtId="165" fontId="0" fillId="0" borderId="18" xfId="0" applyNumberFormat="1" applyBorder="1" applyAlignment="1" applyProtection="1">
      <alignment horizontal="center"/>
      <protection/>
    </xf>
    <xf numFmtId="0" fontId="5" fillId="0" borderId="0" xfId="0" applyFont="1" applyAlignment="1" applyProtection="1">
      <alignment vertical="center"/>
      <protection/>
    </xf>
    <xf numFmtId="165" fontId="0" fillId="0" borderId="0" xfId="0" applyNumberFormat="1" applyAlignment="1" applyProtection="1">
      <alignment horizontal="center"/>
      <protection/>
    </xf>
    <xf numFmtId="0" fontId="0" fillId="0" borderId="5" xfId="0" applyBorder="1" applyAlignment="1" applyProtection="1">
      <alignment horizontal="center" vertical="center"/>
      <protection/>
    </xf>
    <xf numFmtId="0" fontId="8" fillId="2" borderId="9" xfId="0" applyFont="1" applyFill="1" applyBorder="1" applyAlignment="1" applyProtection="1">
      <alignment horizontal="center" vertical="center"/>
      <protection/>
    </xf>
    <xf numFmtId="0" fontId="0" fillId="0" borderId="6" xfId="0" applyBorder="1" applyAlignment="1" applyProtection="1">
      <alignment horizontal="center" vertical="center"/>
      <protection/>
    </xf>
    <xf numFmtId="0" fontId="8" fillId="2" borderId="35" xfId="0" applyFont="1" applyFill="1" applyBorder="1" applyAlignment="1" applyProtection="1">
      <alignment horizontal="center" vertical="center"/>
      <protection/>
    </xf>
    <xf numFmtId="0" fontId="0" fillId="0" borderId="7" xfId="0" applyBorder="1" applyAlignment="1" applyProtection="1">
      <alignment horizontal="center" vertical="center"/>
      <protection/>
    </xf>
    <xf numFmtId="0" fontId="0" fillId="0" borderId="8" xfId="0" applyBorder="1" applyAlignment="1" applyProtection="1">
      <alignment horizontal="center" vertical="center"/>
      <protection/>
    </xf>
    <xf numFmtId="9" fontId="8" fillId="2" borderId="36" xfId="0" applyNumberFormat="1" applyFont="1" applyFill="1" applyBorder="1" applyAlignment="1" applyProtection="1">
      <alignment horizontal="center" vertical="center"/>
      <protection/>
    </xf>
    <xf numFmtId="165" fontId="0" fillId="0" borderId="0" xfId="0" applyNumberFormat="1" applyAlignment="1" applyProtection="1">
      <alignment/>
      <protection/>
    </xf>
    <xf numFmtId="0" fontId="8" fillId="0" borderId="34" xfId="0" applyFont="1" applyBorder="1" applyAlignment="1" applyProtection="1">
      <alignment horizontal="center"/>
      <protection/>
    </xf>
    <xf numFmtId="0" fontId="8" fillId="2" borderId="34" xfId="0" applyFont="1" applyFill="1" applyBorder="1" applyAlignment="1" applyProtection="1">
      <alignment horizontal="center" vertical="center"/>
      <protection/>
    </xf>
    <xf numFmtId="0" fontId="0" fillId="0" borderId="6" xfId="0" applyBorder="1" applyAlignment="1">
      <alignment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6" fillId="0" borderId="42" xfId="0" applyFont="1" applyFill="1" applyBorder="1" applyAlignment="1">
      <alignment horizontal="center" vertical="center"/>
    </xf>
    <xf numFmtId="0" fontId="16" fillId="0" borderId="63" xfId="0" applyFont="1" applyBorder="1" applyAlignment="1">
      <alignment horizontal="center" vertical="center"/>
    </xf>
    <xf numFmtId="0" fontId="7" fillId="0" borderId="66" xfId="0" applyFont="1" applyBorder="1" applyAlignment="1">
      <alignment horizontal="center" vertical="center"/>
    </xf>
    <xf numFmtId="0" fontId="0" fillId="0" borderId="39" xfId="0" applyBorder="1" applyAlignment="1">
      <alignment/>
    </xf>
    <xf numFmtId="0" fontId="1" fillId="0" borderId="5" xfId="0" applyFont="1" applyBorder="1" applyAlignment="1">
      <alignment horizontal="center" vertical="center"/>
    </xf>
    <xf numFmtId="0" fontId="1" fillId="0" borderId="33" xfId="0" applyFont="1" applyBorder="1" applyAlignment="1">
      <alignment horizontal="center" vertical="center"/>
    </xf>
    <xf numFmtId="0" fontId="1" fillId="0" borderId="61" xfId="0" applyFont="1" applyBorder="1" applyAlignment="1">
      <alignment horizontal="center" vertical="center"/>
    </xf>
    <xf numFmtId="0" fontId="1" fillId="0" borderId="67" xfId="0" applyFont="1" applyBorder="1" applyAlignment="1">
      <alignment horizontal="center" vertical="center"/>
    </xf>
    <xf numFmtId="2" fontId="1" fillId="0" borderId="68" xfId="0" applyNumberFormat="1" applyFont="1" applyBorder="1" applyAlignment="1">
      <alignment horizontal="center" vertical="center"/>
    </xf>
    <xf numFmtId="2" fontId="1" fillId="0" borderId="43" xfId="0" applyNumberFormat="1" applyFont="1" applyBorder="1" applyAlignment="1">
      <alignment horizontal="center" vertical="center"/>
    </xf>
    <xf numFmtId="0" fontId="7" fillId="0" borderId="69" xfId="0" applyFont="1" applyBorder="1" applyAlignment="1">
      <alignment horizontal="center" vertical="center"/>
    </xf>
    <xf numFmtId="0" fontId="0" fillId="0" borderId="70" xfId="0" applyBorder="1" applyAlignment="1">
      <alignment horizontal="center" vertical="center"/>
    </xf>
    <xf numFmtId="165" fontId="1" fillId="0" borderId="71" xfId="0" applyNumberFormat="1" applyFont="1" applyBorder="1" applyAlignment="1">
      <alignment horizontal="center" vertical="center"/>
    </xf>
    <xf numFmtId="165" fontId="1" fillId="0" borderId="13" xfId="0" applyNumberFormat="1" applyFont="1" applyBorder="1" applyAlignment="1">
      <alignment horizontal="center" vertical="center"/>
    </xf>
    <xf numFmtId="2" fontId="1" fillId="0" borderId="42" xfId="0" applyNumberFormat="1" applyFont="1" applyBorder="1" applyAlignment="1">
      <alignment horizontal="center" vertical="center"/>
    </xf>
    <xf numFmtId="2" fontId="13" fillId="0" borderId="5" xfId="0" applyNumberFormat="1" applyFont="1" applyBorder="1" applyAlignment="1">
      <alignment horizontal="center"/>
    </xf>
    <xf numFmtId="2" fontId="13" fillId="0" borderId="24" xfId="0" applyNumberFormat="1" applyFont="1" applyBorder="1" applyAlignment="1">
      <alignment horizontal="center"/>
    </xf>
    <xf numFmtId="2" fontId="13" fillId="0" borderId="33" xfId="0" applyNumberFormat="1" applyFont="1" applyBorder="1" applyAlignment="1">
      <alignment horizontal="center"/>
    </xf>
    <xf numFmtId="165" fontId="1" fillId="0" borderId="72" xfId="0" applyNumberFormat="1" applyFont="1" applyBorder="1" applyAlignment="1">
      <alignment horizontal="center" vertical="center"/>
    </xf>
    <xf numFmtId="165" fontId="1" fillId="0" borderId="18" xfId="0" applyNumberFormat="1" applyFont="1" applyBorder="1" applyAlignment="1">
      <alignment horizontal="center" vertical="center"/>
    </xf>
    <xf numFmtId="165" fontId="1" fillId="0" borderId="73" xfId="0" applyNumberFormat="1" applyFont="1" applyBorder="1" applyAlignment="1">
      <alignment horizontal="center" vertical="center"/>
    </xf>
    <xf numFmtId="165" fontId="1" fillId="0" borderId="17" xfId="0" applyNumberFormat="1" applyFont="1" applyBorder="1" applyAlignment="1">
      <alignment horizontal="center" vertical="center"/>
    </xf>
    <xf numFmtId="0" fontId="1" fillId="0" borderId="31" xfId="0" applyFont="1" applyBorder="1" applyAlignment="1">
      <alignment horizontal="center" vertical="center"/>
    </xf>
    <xf numFmtId="0" fontId="1" fillId="0" borderId="71" xfId="0" applyFont="1" applyBorder="1" applyAlignment="1">
      <alignment horizontal="center" vertical="center"/>
    </xf>
    <xf numFmtId="0" fontId="7" fillId="0" borderId="28" xfId="0" applyFont="1" applyBorder="1" applyAlignment="1">
      <alignment horizontal="center" vertical="center"/>
    </xf>
    <xf numFmtId="0" fontId="0" fillId="0" borderId="8" xfId="0" applyBorder="1" applyAlignment="1">
      <alignment horizontal="center" vertical="center"/>
    </xf>
    <xf numFmtId="0" fontId="13" fillId="0" borderId="27" xfId="0" applyFont="1" applyBorder="1" applyAlignment="1">
      <alignment horizontal="center"/>
    </xf>
    <xf numFmtId="0" fontId="13" fillId="0" borderId="29" xfId="0" applyFont="1" applyBorder="1" applyAlignment="1">
      <alignment horizontal="center"/>
    </xf>
    <xf numFmtId="0" fontId="13" fillId="0" borderId="30" xfId="0" applyFont="1" applyBorder="1" applyAlignment="1">
      <alignment horizontal="center"/>
    </xf>
    <xf numFmtId="0" fontId="16" fillId="0" borderId="68" xfId="0" applyFont="1" applyFill="1" applyBorder="1" applyAlignment="1">
      <alignment horizontal="center" vertical="center"/>
    </xf>
    <xf numFmtId="0" fontId="16" fillId="0" borderId="63" xfId="0" applyFont="1" applyFill="1" applyBorder="1" applyAlignment="1">
      <alignment horizontal="center" vertical="center"/>
    </xf>
    <xf numFmtId="0" fontId="0" fillId="0" borderId="0" xfId="0" applyBorder="1" applyAlignment="1">
      <alignment vertical="center"/>
    </xf>
    <xf numFmtId="0" fontId="0" fillId="0" borderId="6" xfId="0" applyFont="1" applyBorder="1" applyAlignment="1">
      <alignment horizontal="left" vertical="center"/>
    </xf>
    <xf numFmtId="0" fontId="0" fillId="0" borderId="0" xfId="0" applyFont="1" applyAlignment="1">
      <alignment horizontal="left" vertical="center"/>
    </xf>
    <xf numFmtId="0" fontId="0" fillId="0" borderId="6" xfId="0" applyFont="1" applyBorder="1" applyAlignment="1">
      <alignment horizontal="left" vertical="center" wrapText="1"/>
    </xf>
    <xf numFmtId="0" fontId="1" fillId="0" borderId="64" xfId="0" applyFont="1" applyBorder="1" applyAlignment="1" applyProtection="1">
      <alignment horizontal="center" vertical="center"/>
      <protection hidden="1"/>
    </xf>
    <xf numFmtId="0" fontId="1" fillId="0" borderId="65" xfId="0" applyFont="1" applyBorder="1" applyAlignment="1" applyProtection="1">
      <alignment horizontal="center" vertical="center"/>
      <protection hidden="1"/>
    </xf>
    <xf numFmtId="0" fontId="13" fillId="0" borderId="24" xfId="0" applyFont="1" applyBorder="1" applyAlignment="1" applyProtection="1">
      <alignment horizontal="center" vertical="center"/>
      <protection hidden="1"/>
    </xf>
    <xf numFmtId="0" fontId="13" fillId="0" borderId="33" xfId="0" applyFont="1" applyBorder="1" applyAlignment="1" applyProtection="1">
      <alignment horizontal="center" vertical="center"/>
      <protection hidden="1"/>
    </xf>
    <xf numFmtId="0" fontId="13" fillId="0" borderId="0" xfId="0" applyFont="1" applyBorder="1" applyAlignment="1" applyProtection="1">
      <alignment horizontal="center" vertical="center"/>
      <protection hidden="1"/>
    </xf>
    <xf numFmtId="0" fontId="13" fillId="0" borderId="19" xfId="0" applyFont="1" applyBorder="1" applyAlignment="1" applyProtection="1">
      <alignment horizontal="center" vertical="center"/>
      <protection hidden="1"/>
    </xf>
    <xf numFmtId="0" fontId="13" fillId="0" borderId="5" xfId="0" applyFont="1" applyBorder="1" applyAlignment="1" applyProtection="1">
      <alignment horizontal="center" vertical="center"/>
      <protection hidden="1"/>
    </xf>
    <xf numFmtId="0" fontId="13" fillId="0" borderId="61" xfId="0" applyFont="1" applyBorder="1" applyAlignment="1" applyProtection="1">
      <alignment horizontal="center" vertical="center"/>
      <protection hidden="1"/>
    </xf>
    <xf numFmtId="0" fontId="13" fillId="0" borderId="67" xfId="0" applyFont="1" applyBorder="1" applyAlignment="1" applyProtection="1">
      <alignment horizontal="center" vertical="center"/>
      <protection hidden="1"/>
    </xf>
    <xf numFmtId="165" fontId="1" fillId="0" borderId="73" xfId="0" applyNumberFormat="1" applyFont="1" applyBorder="1" applyAlignment="1" applyProtection="1">
      <alignment horizontal="center" vertical="center"/>
      <protection hidden="1"/>
    </xf>
    <xf numFmtId="165" fontId="1" fillId="0" borderId="74" xfId="0" applyNumberFormat="1" applyFont="1" applyBorder="1" applyAlignment="1" applyProtection="1">
      <alignment horizontal="center" vertical="center"/>
      <protection hidden="1"/>
    </xf>
    <xf numFmtId="0" fontId="1" fillId="0" borderId="71" xfId="0" applyFont="1" applyBorder="1" applyAlignment="1" applyProtection="1">
      <alignment horizontal="center" vertical="center"/>
      <protection hidden="1"/>
    </xf>
    <xf numFmtId="0" fontId="1" fillId="0" borderId="75" xfId="0" applyFont="1" applyBorder="1" applyAlignment="1" applyProtection="1">
      <alignment horizontal="center" vertical="center"/>
      <protection hidden="1"/>
    </xf>
    <xf numFmtId="165" fontId="1" fillId="0" borderId="71" xfId="0" applyNumberFormat="1" applyFont="1" applyBorder="1" applyAlignment="1" applyProtection="1">
      <alignment horizontal="center" vertical="center"/>
      <protection hidden="1"/>
    </xf>
    <xf numFmtId="165" fontId="1" fillId="0" borderId="75" xfId="0" applyNumberFormat="1" applyFont="1" applyBorder="1" applyAlignment="1" applyProtection="1">
      <alignment horizontal="center" vertical="center"/>
      <protection hidden="1"/>
    </xf>
    <xf numFmtId="2" fontId="1" fillId="0" borderId="68" xfId="0" applyNumberFormat="1" applyFont="1" applyBorder="1" applyAlignment="1" applyProtection="1">
      <alignment horizontal="center"/>
      <protection hidden="1"/>
    </xf>
    <xf numFmtId="2" fontId="1" fillId="0" borderId="43" xfId="0" applyNumberFormat="1" applyFont="1" applyBorder="1" applyAlignment="1" applyProtection="1">
      <alignment horizontal="center"/>
      <protection hidden="1"/>
    </xf>
    <xf numFmtId="165" fontId="1" fillId="0" borderId="28" xfId="0" applyNumberFormat="1" applyFont="1" applyBorder="1" applyAlignment="1" applyProtection="1">
      <alignment horizontal="center" vertical="center"/>
      <protection hidden="1"/>
    </xf>
    <xf numFmtId="165" fontId="1" fillId="0" borderId="76" xfId="0" applyNumberFormat="1" applyFont="1" applyBorder="1" applyAlignment="1" applyProtection="1">
      <alignment horizontal="center" vertical="center"/>
      <protection hidden="1"/>
    </xf>
    <xf numFmtId="0" fontId="0" fillId="0" borderId="6" xfId="0" applyFont="1" applyBorder="1" applyAlignment="1" applyProtection="1">
      <alignment horizontal="center"/>
      <protection hidden="1"/>
    </xf>
    <xf numFmtId="0" fontId="0" fillId="0" borderId="0" xfId="0" applyFont="1" applyBorder="1" applyAlignment="1" applyProtection="1">
      <alignment horizontal="center"/>
      <protection hidden="1"/>
    </xf>
    <xf numFmtId="0" fontId="0" fillId="0" borderId="26" xfId="0" applyFont="1" applyBorder="1" applyAlignment="1" applyProtection="1">
      <alignment horizontal="center"/>
      <protection hidden="1"/>
    </xf>
    <xf numFmtId="0" fontId="1" fillId="0" borderId="77" xfId="0" applyFont="1" applyBorder="1" applyAlignment="1" applyProtection="1">
      <alignment horizontal="center" vertical="center"/>
      <protection hidden="1"/>
    </xf>
    <xf numFmtId="0" fontId="1" fillId="0" borderId="37" xfId="0" applyFont="1" applyBorder="1" applyAlignment="1" applyProtection="1">
      <alignment horizontal="center" vertical="center"/>
      <protection hidden="1"/>
    </xf>
    <xf numFmtId="0" fontId="1" fillId="0" borderId="78" xfId="0" applyFont="1" applyBorder="1" applyAlignment="1" applyProtection="1">
      <alignment horizontal="center" vertical="center"/>
      <protection hidden="1"/>
    </xf>
    <xf numFmtId="2" fontId="13" fillId="0" borderId="79" xfId="0" applyNumberFormat="1" applyFont="1" applyBorder="1" applyAlignment="1" applyProtection="1">
      <alignment horizontal="center"/>
      <protection hidden="1"/>
    </xf>
    <xf numFmtId="0" fontId="0" fillId="0" borderId="29" xfId="0" applyBorder="1" applyAlignment="1" applyProtection="1">
      <alignment/>
      <protection hidden="1"/>
    </xf>
    <xf numFmtId="0" fontId="0" fillId="0" borderId="30" xfId="0" applyBorder="1" applyAlignment="1" applyProtection="1">
      <alignment/>
      <protection hidden="1"/>
    </xf>
    <xf numFmtId="0" fontId="13" fillId="0" borderId="29" xfId="0" applyNumberFormat="1" applyFont="1" applyBorder="1" applyAlignment="1" applyProtection="1">
      <alignment horizontal="center"/>
      <protection hidden="1"/>
    </xf>
    <xf numFmtId="2" fontId="1" fillId="0" borderId="63" xfId="0" applyNumberFormat="1" applyFont="1" applyBorder="1" applyAlignment="1" applyProtection="1">
      <alignment horizontal="center"/>
      <protection hidden="1"/>
    </xf>
    <xf numFmtId="0" fontId="30" fillId="0" borderId="5" xfId="0" applyFont="1" applyBorder="1" applyAlignment="1" applyProtection="1">
      <alignment horizontal="center"/>
      <protection hidden="1"/>
    </xf>
    <xf numFmtId="0" fontId="30" fillId="0" borderId="24" xfId="0" applyFont="1" applyBorder="1" applyAlignment="1" applyProtection="1">
      <alignment horizontal="center"/>
      <protection hidden="1"/>
    </xf>
    <xf numFmtId="0" fontId="30" fillId="0" borderId="33" xfId="0" applyFont="1" applyBorder="1" applyAlignment="1" applyProtection="1">
      <alignment horizontal="center"/>
      <protection hidden="1"/>
    </xf>
    <xf numFmtId="0" fontId="1" fillId="0" borderId="21" xfId="0" applyFont="1" applyBorder="1" applyAlignment="1" applyProtection="1">
      <alignment horizontal="center"/>
      <protection hidden="1"/>
    </xf>
    <xf numFmtId="0" fontId="1" fillId="0" borderId="63" xfId="0" applyFont="1" applyBorder="1" applyAlignment="1" applyProtection="1">
      <alignment horizontal="center"/>
      <protection hidden="1"/>
    </xf>
    <xf numFmtId="0" fontId="1" fillId="0" borderId="19" xfId="0" applyFont="1" applyBorder="1" applyAlignment="1">
      <alignment horizontal="center" vertical="center" wrapText="1"/>
    </xf>
    <xf numFmtId="0" fontId="0" fillId="0" borderId="6" xfId="0" applyFont="1" applyBorder="1" applyAlignment="1">
      <alignment horizontal="left"/>
    </xf>
    <xf numFmtId="0" fontId="0" fillId="0" borderId="0" xfId="0" applyFont="1" applyBorder="1" applyAlignment="1">
      <alignment horizontal="left"/>
    </xf>
    <xf numFmtId="0" fontId="0" fillId="0" borderId="6" xfId="0" applyBorder="1" applyAlignment="1">
      <alignment horizontal="left" vertical="center"/>
    </xf>
    <xf numFmtId="0" fontId="0" fillId="0" borderId="0" xfId="0" applyAlignment="1">
      <alignment horizontal="left" vertical="center"/>
    </xf>
    <xf numFmtId="0" fontId="1" fillId="0" borderId="80" xfId="0" applyFont="1" applyBorder="1" applyAlignment="1" applyProtection="1">
      <alignment horizontal="center" vertical="center"/>
      <protection hidden="1"/>
    </xf>
    <xf numFmtId="0" fontId="1" fillId="0" borderId="59" xfId="0" applyFont="1" applyBorder="1" applyAlignment="1" applyProtection="1">
      <alignment horizontal="center" vertical="center"/>
      <protection hidden="1"/>
    </xf>
    <xf numFmtId="2" fontId="18" fillId="0" borderId="5" xfId="0" applyNumberFormat="1" applyFont="1" applyBorder="1" applyAlignment="1">
      <alignment horizontal="center" vertical="center" wrapText="1"/>
    </xf>
    <xf numFmtId="2" fontId="18" fillId="0" borderId="33" xfId="0" applyNumberFormat="1" applyFont="1" applyBorder="1" applyAlignment="1">
      <alignment horizontal="center" vertical="center" wrapText="1"/>
    </xf>
    <xf numFmtId="2" fontId="1" fillId="0" borderId="6" xfId="0" applyNumberFormat="1" applyFont="1" applyBorder="1" applyAlignment="1">
      <alignment horizontal="center"/>
    </xf>
    <xf numFmtId="2" fontId="1" fillId="0" borderId="19" xfId="0" applyNumberFormat="1" applyFont="1" applyBorder="1" applyAlignment="1">
      <alignment horizontal="center"/>
    </xf>
    <xf numFmtId="0" fontId="30" fillId="0" borderId="29" xfId="0" applyFont="1" applyFill="1" applyBorder="1" applyAlignment="1">
      <alignment horizontal="center"/>
    </xf>
    <xf numFmtId="0" fontId="1" fillId="0" borderId="27" xfId="0" applyFont="1" applyBorder="1" applyAlignment="1">
      <alignment horizontal="center"/>
    </xf>
    <xf numFmtId="0" fontId="1" fillId="0" borderId="30" xfId="0" applyFont="1" applyBorder="1" applyAlignment="1">
      <alignment horizontal="center"/>
    </xf>
    <xf numFmtId="2" fontId="18" fillId="0" borderId="6" xfId="0" applyNumberFormat="1" applyFont="1" applyBorder="1" applyAlignment="1">
      <alignment horizontal="center" vertical="center" wrapText="1"/>
    </xf>
    <xf numFmtId="2" fontId="18" fillId="0" borderId="19" xfId="0" applyNumberFormat="1" applyFont="1" applyBorder="1" applyAlignment="1">
      <alignment horizontal="center" vertical="center" wrapText="1"/>
    </xf>
    <xf numFmtId="2" fontId="14" fillId="0" borderId="28" xfId="0" applyNumberFormat="1" applyFont="1" applyBorder="1" applyAlignment="1">
      <alignment horizontal="center"/>
    </xf>
    <xf numFmtId="2" fontId="14" fillId="0" borderId="32" xfId="0" applyNumberFormat="1" applyFont="1" applyBorder="1" applyAlignment="1">
      <alignment horizontal="center"/>
    </xf>
    <xf numFmtId="0" fontId="0" fillId="0" borderId="6" xfId="0" applyBorder="1" applyAlignment="1" applyProtection="1">
      <alignment vertical="center"/>
      <protection/>
    </xf>
    <xf numFmtId="0" fontId="0" fillId="0" borderId="0" xfId="0" applyBorder="1" applyAlignment="1" applyProtection="1">
      <alignment vertical="center"/>
      <protection/>
    </xf>
    <xf numFmtId="0" fontId="1" fillId="0" borderId="64" xfId="0" applyFont="1" applyBorder="1" applyAlignment="1" applyProtection="1">
      <alignment horizontal="center" vertical="center"/>
      <protection/>
    </xf>
    <xf numFmtId="0" fontId="1" fillId="0" borderId="65" xfId="0" applyFont="1" applyBorder="1" applyAlignment="1" applyProtection="1">
      <alignment horizontal="center" vertical="center"/>
      <protection/>
    </xf>
    <xf numFmtId="0" fontId="0" fillId="0" borderId="6" xfId="0" applyFont="1" applyBorder="1" applyAlignment="1" applyProtection="1">
      <alignment horizontal="left" vertical="center"/>
      <protection/>
    </xf>
    <xf numFmtId="0" fontId="0" fillId="0" borderId="0" xfId="0" applyFont="1" applyAlignment="1" applyProtection="1">
      <alignment horizontal="left" vertical="center"/>
      <protection/>
    </xf>
    <xf numFmtId="0" fontId="0" fillId="0" borderId="6" xfId="0" applyFont="1" applyBorder="1" applyAlignment="1" applyProtection="1">
      <alignment horizontal="left" vertical="center" wrapText="1"/>
      <protection/>
    </xf>
    <xf numFmtId="0" fontId="7" fillId="0" borderId="69" xfId="0" applyFont="1" applyBorder="1" applyAlignment="1" applyProtection="1">
      <alignment horizontal="center" vertical="center"/>
      <protection/>
    </xf>
    <xf numFmtId="0" fontId="0" fillId="0" borderId="70" xfId="0" applyBorder="1" applyAlignment="1" applyProtection="1">
      <alignment horizontal="center" vertical="center"/>
      <protection/>
    </xf>
    <xf numFmtId="0" fontId="16" fillId="0" borderId="68" xfId="0" applyFont="1" applyFill="1" applyBorder="1" applyAlignment="1" applyProtection="1">
      <alignment horizontal="center" vertical="center"/>
      <protection/>
    </xf>
    <xf numFmtId="0" fontId="16" fillId="0" borderId="42" xfId="0" applyFont="1" applyFill="1" applyBorder="1" applyAlignment="1" applyProtection="1">
      <alignment horizontal="center" vertical="center"/>
      <protection/>
    </xf>
    <xf numFmtId="0" fontId="16" fillId="0" borderId="63" xfId="0" applyFont="1" applyFill="1" applyBorder="1" applyAlignment="1" applyProtection="1">
      <alignment horizontal="center" vertical="center"/>
      <protection/>
    </xf>
    <xf numFmtId="0" fontId="16" fillId="0" borderId="63" xfId="0" applyFont="1" applyBorder="1" applyAlignment="1" applyProtection="1">
      <alignment horizontal="center" vertical="center"/>
      <protection/>
    </xf>
    <xf numFmtId="0" fontId="7" fillId="0" borderId="66" xfId="0" applyFont="1" applyBorder="1" applyAlignment="1" applyProtection="1">
      <alignment horizontal="center" vertical="center"/>
      <protection/>
    </xf>
    <xf numFmtId="0" fontId="0" fillId="0" borderId="39" xfId="0" applyBorder="1" applyAlignment="1" applyProtection="1">
      <alignment/>
      <protection/>
    </xf>
    <xf numFmtId="165" fontId="1" fillId="0" borderId="72" xfId="0" applyNumberFormat="1" applyFont="1" applyBorder="1" applyAlignment="1" applyProtection="1">
      <alignment horizontal="center" vertical="center"/>
      <protection/>
    </xf>
    <xf numFmtId="165" fontId="1" fillId="0" borderId="18" xfId="0" applyNumberFormat="1" applyFont="1" applyBorder="1" applyAlignment="1" applyProtection="1">
      <alignment horizontal="center" vertic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0375"/>
          <c:w val="0.995"/>
          <c:h val="0.99625"/>
        </c:manualLayout>
      </c:layout>
      <c:scatterChart>
        <c:scatterStyle val="lineMarker"/>
        <c:varyColors val="0"/>
        <c:ser>
          <c:idx val="3"/>
          <c:order val="0"/>
          <c:tx>
            <c:v>Rotated Traverse</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[0]!Example_rotated_X_values</c:f>
              <c:numCache>
                <c:ptCount val="1"/>
                <c:pt idx="0">
                  <c:v>0</c:v>
                </c:pt>
              </c:numCache>
            </c:numRef>
          </c:xVal>
          <c:yVal>
            <c:numRef>
              <c:f>[0]!Example_rotated_Y_values</c:f>
              <c:numCache>
                <c:ptCount val="1"/>
                <c:pt idx="0">
                  <c:v>0</c:v>
                </c:pt>
              </c:numCache>
            </c:numRef>
          </c:yVal>
          <c:smooth val="0"/>
        </c:ser>
        <c:ser>
          <c:idx val="0"/>
          <c:order val="1"/>
          <c:tx>
            <c:v>Rotation Direction</c:v>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 Entry'!$Y$16:$Y$21</c:f>
              <c:numCache/>
            </c:numRef>
          </c:xVal>
          <c:yVal>
            <c:numRef>
              <c:f>'Data Entry'!$Z$16:$Z$21</c:f>
              <c:numCache/>
            </c:numRef>
          </c:yVal>
          <c:smooth val="0"/>
        </c:ser>
        <c:ser>
          <c:idx val="1"/>
          <c:order val="2"/>
          <c:tx>
            <c:v>Unadjusted Traverse</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[0]!Example_unadj_X_values</c:f>
              <c:numCache>
                <c:ptCount val="1"/>
                <c:pt idx="0">
                  <c:v>0</c:v>
                </c:pt>
              </c:numCache>
            </c:numRef>
          </c:xVal>
          <c:yVal>
            <c:numRef>
              <c:f>[0]!Example_unadj_Y_values</c:f>
              <c:numCache>
                <c:ptCount val="1"/>
                <c:pt idx="0">
                  <c:v>0</c:v>
                </c:pt>
              </c:numCache>
            </c:numRef>
          </c:yVal>
          <c:smooth val="0"/>
        </c:ser>
        <c:ser>
          <c:idx val="2"/>
          <c:order val="3"/>
          <c:tx>
            <c:v>North Orientation</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 Entry'!$V$16:$V$21</c:f>
              <c:numCache/>
            </c:numRef>
          </c:xVal>
          <c:yVal>
            <c:numRef>
              <c:f>'Data Entry'!$W$16:$W$21</c:f>
              <c:numCache/>
            </c:numRef>
          </c:yVal>
          <c:smooth val="0"/>
        </c:ser>
        <c:axId val="47692748"/>
        <c:axId val="26581549"/>
      </c:scatterChart>
      <c:valAx>
        <c:axId val="47692748"/>
        <c:scaling>
          <c:orientation val="minMax"/>
        </c:scaling>
        <c:axPos val="b"/>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26581549"/>
        <c:crosses val="autoZero"/>
        <c:crossBetween val="midCat"/>
        <c:dispUnits/>
      </c:valAx>
      <c:valAx>
        <c:axId val="26581549"/>
        <c:scaling>
          <c:orientation val="minMax"/>
        </c:scaling>
        <c:axPos val="l"/>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47692748"/>
        <c:crosses val="autoZero"/>
        <c:crossBetween val="midCat"/>
        <c:dispUnits/>
      </c:valAx>
      <c:spPr>
        <a:noFill/>
        <a:ln w="3175">
          <a:solidFill/>
        </a:ln>
      </c:spPr>
    </c:plotArea>
    <c:legend>
      <c:legendPos val="r"/>
      <c:layout>
        <c:manualLayout>
          <c:xMode val="edge"/>
          <c:yMode val="edge"/>
          <c:x val="0.6915"/>
          <c:y val="0.68375"/>
          <c:w val="0.179"/>
          <c:h val="0.2"/>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3"/>
          <c:w val="0.99675"/>
          <c:h val="0.9985"/>
        </c:manualLayout>
      </c:layout>
      <c:scatterChart>
        <c:scatterStyle val="lineMarker"/>
        <c:varyColors val="0"/>
        <c:ser>
          <c:idx val="1"/>
          <c:order val="0"/>
          <c:tx>
            <c:v>Unadjusted Traverse</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FFFF"/>
              </a:solidFill>
              <a:ln>
                <a:solidFill>
                  <a:srgbClr val="333399"/>
                </a:solidFill>
              </a:ln>
            </c:spPr>
          </c:marker>
          <c:xVal>
            <c:numRef>
              <c:f>[0]!Example_compass_unadj_X_values</c:f>
              <c:numCache>
                <c:ptCount val="1"/>
                <c:pt idx="0">
                  <c:v>0</c:v>
                </c:pt>
              </c:numCache>
            </c:numRef>
          </c:xVal>
          <c:yVal>
            <c:numRef>
              <c:f>[0]!Example_compass_unadj_Y_values</c:f>
              <c:numCache>
                <c:ptCount val="1"/>
                <c:pt idx="0">
                  <c:v>0</c:v>
                </c:pt>
              </c:numCache>
            </c:numRef>
          </c:yVal>
          <c:smooth val="0"/>
        </c:ser>
        <c:ser>
          <c:idx val="0"/>
          <c:order val="1"/>
          <c:tx>
            <c:v>Balanced Traverse</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9966"/>
              </a:solidFill>
              <a:ln>
                <a:solidFill>
                  <a:srgbClr val="00FF00"/>
                </a:solidFill>
              </a:ln>
            </c:spPr>
          </c:marker>
          <c:xVal>
            <c:numRef>
              <c:f>[0]!Example_compass_bal_X_values</c:f>
              <c:numCache>
                <c:ptCount val="1"/>
                <c:pt idx="0">
                  <c:v>0</c:v>
                </c:pt>
              </c:numCache>
            </c:numRef>
          </c:xVal>
          <c:yVal>
            <c:numRef>
              <c:f>[0]!Example_compass_bal_Y_values</c:f>
              <c:numCache>
                <c:ptCount val="1"/>
                <c:pt idx="0">
                  <c:v>0</c:v>
                </c:pt>
              </c:numCache>
            </c:numRef>
          </c:yVal>
          <c:smooth val="0"/>
        </c:ser>
        <c:ser>
          <c:idx val="2"/>
          <c:order val="2"/>
          <c:tx>
            <c:v>North Direction</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'Compass Rule Adjustment'!$S$37:$S$42</c:f>
              <c:numCache/>
            </c:numRef>
          </c:xVal>
          <c:yVal>
            <c:numRef>
              <c:f>'Compass Rule Adjustment'!$T$37:$T$42</c:f>
              <c:numCache/>
            </c:numRef>
          </c:yVal>
          <c:smooth val="0"/>
        </c:ser>
        <c:axId val="18855926"/>
        <c:axId val="35485607"/>
      </c:scatterChart>
      <c:valAx>
        <c:axId val="1885592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485607"/>
        <c:crosses val="autoZero"/>
        <c:crossBetween val="midCat"/>
        <c:dispUnits/>
      </c:valAx>
      <c:valAx>
        <c:axId val="35485607"/>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855926"/>
        <c:crosses val="autoZero"/>
        <c:crossBetween val="midCat"/>
        <c:dispUnits/>
      </c:valAx>
      <c:spPr>
        <a:noFill/>
        <a:ln w="3175">
          <a:solidFill/>
        </a:ln>
      </c:spPr>
    </c:plotArea>
    <c:legend>
      <c:legendPos val="r"/>
      <c:layout>
        <c:manualLayout>
          <c:xMode val="edge"/>
          <c:yMode val="edge"/>
          <c:x val="0.7255"/>
          <c:y val="0.84"/>
          <c:w val="0.136"/>
          <c:h val="0.083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2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325"/>
          <c:w val="0.9955"/>
          <c:h val="0.99825"/>
        </c:manualLayout>
      </c:layout>
      <c:scatterChart>
        <c:scatterStyle val="lineMarker"/>
        <c:varyColors val="0"/>
        <c:ser>
          <c:idx val="1"/>
          <c:order val="0"/>
          <c:tx>
            <c:v>Unadjusted Traverse</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FFFF"/>
              </a:solidFill>
              <a:ln>
                <a:solidFill>
                  <a:srgbClr val="333399"/>
                </a:solidFill>
              </a:ln>
            </c:spPr>
          </c:marker>
          <c:xVal>
            <c:numRef>
              <c:f>[0]!Linear_X_values</c:f>
              <c:numCache>
                <c:ptCount val="1"/>
                <c:pt idx="0">
                  <c:v>0</c:v>
                </c:pt>
              </c:numCache>
            </c:numRef>
          </c:xVal>
          <c:yVal>
            <c:numRef>
              <c:f>[0]!Linear_Y_values</c:f>
              <c:numCache>
                <c:ptCount val="1"/>
                <c:pt idx="0">
                  <c:v>0</c:v>
                </c:pt>
              </c:numCache>
            </c:numRef>
          </c:yVal>
          <c:smooth val="0"/>
        </c:ser>
        <c:ser>
          <c:idx val="2"/>
          <c:order val="1"/>
          <c:tx>
            <c:v>North Direction</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'Linear Traverse'!$I$32:$I$37</c:f>
              <c:numCache/>
            </c:numRef>
          </c:xVal>
          <c:yVal>
            <c:numRef>
              <c:f>'Linear Traverse'!$J$32:$J$37</c:f>
              <c:numCache/>
            </c:numRef>
          </c:yVal>
          <c:smooth val="0"/>
        </c:ser>
        <c:axId val="49684349"/>
        <c:axId val="44505958"/>
      </c:scatterChart>
      <c:valAx>
        <c:axId val="49684349"/>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4505958"/>
        <c:crosses val="autoZero"/>
        <c:crossBetween val="midCat"/>
        <c:dispUnits/>
      </c:valAx>
      <c:valAx>
        <c:axId val="44505958"/>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9684349"/>
        <c:crosses val="autoZero"/>
        <c:crossBetween val="midCat"/>
        <c:dispUnits/>
      </c:valAx>
      <c:spPr>
        <a:noFill/>
        <a:ln w="3175">
          <a:solidFill/>
        </a:ln>
      </c:spPr>
    </c:plotArea>
    <c:legend>
      <c:legendPos val="r"/>
      <c:layout>
        <c:manualLayout>
          <c:xMode val="edge"/>
          <c:yMode val="edge"/>
          <c:x val="0.71025"/>
          <c:y val="0.84175"/>
          <c:w val="0.175"/>
          <c:h val="0.091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0425"/>
          <c:w val="0.995"/>
          <c:h val="0.99575"/>
        </c:manualLayout>
      </c:layout>
      <c:scatterChart>
        <c:scatterStyle val="lineMarker"/>
        <c:varyColors val="0"/>
        <c:ser>
          <c:idx val="3"/>
          <c:order val="0"/>
          <c:tx>
            <c:v>Rotated Traverse</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'Example Data Entry'!$S$16:$S$63</c:f>
              <c:numCache/>
            </c:numRef>
          </c:xVal>
          <c:yVal>
            <c:numRef>
              <c:f>'Example Data Entry'!$T$16:$T$63</c:f>
              <c:numCache/>
            </c:numRef>
          </c:yVal>
          <c:smooth val="0"/>
        </c:ser>
        <c:ser>
          <c:idx val="0"/>
          <c:order val="1"/>
          <c:tx>
            <c:v>Rotation Direction</c:v>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'Example Data Entry'!$Y$16:$Y$21</c:f>
              <c:numCache/>
            </c:numRef>
          </c:xVal>
          <c:yVal>
            <c:numRef>
              <c:f>'Example Data Entry'!$Z$16:$Z$21</c:f>
              <c:numCache/>
            </c:numRef>
          </c:yVal>
          <c:smooth val="0"/>
        </c:ser>
        <c:ser>
          <c:idx val="1"/>
          <c:order val="2"/>
          <c:tx>
            <c:v>Unadjusted Traverse</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'Example Data Entry'!$Q$16:$Q$63</c:f>
              <c:numCache/>
            </c:numRef>
          </c:xVal>
          <c:yVal>
            <c:numRef>
              <c:f>'Example Data Entry'!$R$16:$R$63</c:f>
              <c:numCache/>
            </c:numRef>
          </c:yVal>
          <c:smooth val="0"/>
        </c:ser>
        <c:ser>
          <c:idx val="2"/>
          <c:order val="3"/>
          <c:tx>
            <c:v>North Orientation</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'Example Data Entry'!$V$16:$V$21</c:f>
              <c:numCache/>
            </c:numRef>
          </c:xVal>
          <c:yVal>
            <c:numRef>
              <c:f>'Example Data Entry'!$W$16:$W$21</c:f>
              <c:numCache/>
            </c:numRef>
          </c:yVal>
          <c:smooth val="0"/>
        </c:ser>
        <c:axId val="65009303"/>
        <c:axId val="48212816"/>
      </c:scatterChart>
      <c:valAx>
        <c:axId val="65009303"/>
        <c:scaling>
          <c:orientation val="minMax"/>
        </c:scaling>
        <c:axPos val="b"/>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48212816"/>
        <c:crosses val="autoZero"/>
        <c:crossBetween val="midCat"/>
        <c:dispUnits/>
      </c:valAx>
      <c:valAx>
        <c:axId val="48212816"/>
        <c:scaling>
          <c:orientation val="minMax"/>
        </c:scaling>
        <c:axPos val="l"/>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65009303"/>
        <c:crosses val="autoZero"/>
        <c:crossBetween val="midCat"/>
        <c:dispUnits/>
      </c:valAx>
      <c:spPr>
        <a:noFill/>
        <a:ln w="3175">
          <a:solidFill/>
        </a:ln>
      </c:spPr>
    </c:plotArea>
    <c:legend>
      <c:legendPos val="r"/>
      <c:layout>
        <c:manualLayout>
          <c:xMode val="edge"/>
          <c:yMode val="edge"/>
          <c:x val="0.73375"/>
          <c:y val="0.75475"/>
          <c:w val="0.179"/>
          <c:h val="0.2"/>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25"/>
          <c:w val="0.99675"/>
          <c:h val="0.99875"/>
        </c:manualLayout>
      </c:layout>
      <c:scatterChart>
        <c:scatterStyle val="lineMarker"/>
        <c:varyColors val="0"/>
        <c:ser>
          <c:idx val="1"/>
          <c:order val="0"/>
          <c:tx>
            <c:v>Unadjusted Traverse</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FFFF"/>
              </a:solidFill>
              <a:ln>
                <a:solidFill>
                  <a:srgbClr val="333399"/>
                </a:solidFill>
              </a:ln>
            </c:spPr>
          </c:marker>
          <c:xVal>
            <c:numRef>
              <c:f>'Example Compass Adjustment'!$F$37:$F$84</c:f>
              <c:numCach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xVal>
          <c:yVal>
            <c:numRef>
              <c:f>'Example Compass Adjustment'!$G$37:$G$84</c:f>
              <c:numCach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yVal>
          <c:smooth val="0"/>
        </c:ser>
        <c:ser>
          <c:idx val="0"/>
          <c:order val="1"/>
          <c:tx>
            <c:v>Balanced Traverse</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9966"/>
              </a:solidFill>
              <a:ln>
                <a:solidFill>
                  <a:srgbClr val="00FF00"/>
                </a:solidFill>
              </a:ln>
            </c:spPr>
          </c:marker>
          <c:xVal>
            <c:numRef>
              <c:f>'Example Compass Adjustment'!$M$37:$M$84</c:f>
              <c:numCach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xVal>
          <c:yVal>
            <c:numRef>
              <c:f>'Example Compass Adjustment'!$N$37:$N$84</c:f>
              <c:numCach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yVal>
          <c:smooth val="0"/>
        </c:ser>
        <c:ser>
          <c:idx val="2"/>
          <c:order val="2"/>
          <c:tx>
            <c:v>North Direction</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'Compass Rule Adjustment'!$S$37:$S$42</c:f>
              <c:numCache>
                <c:ptCount val="6"/>
                <c:pt idx="0">
                  <c:v>0</c:v>
                </c:pt>
                <c:pt idx="1">
                  <c:v>0</c:v>
                </c:pt>
                <c:pt idx="2">
                  <c:v>10</c:v>
                </c:pt>
                <c:pt idx="3">
                  <c:v>0</c:v>
                </c:pt>
                <c:pt idx="4">
                  <c:v>-10</c:v>
                </c:pt>
                <c:pt idx="5">
                  <c:v>0</c:v>
                </c:pt>
              </c:numCache>
            </c:numRef>
          </c:xVal>
          <c:yVal>
            <c:numRef>
              <c:f>'Compass Rule Adjustment'!$T$37:$T$42</c:f>
              <c:numCache>
                <c:ptCount val="6"/>
                <c:pt idx="0">
                  <c:v>0</c:v>
                </c:pt>
                <c:pt idx="1">
                  <c:v>0</c:v>
                </c:pt>
                <c:pt idx="2">
                  <c:v>-1.83772268236293E-15</c:v>
                </c:pt>
                <c:pt idx="3">
                  <c:v>0</c:v>
                </c:pt>
                <c:pt idx="4">
                  <c:v>1.83772268236293E-15</c:v>
                </c:pt>
                <c:pt idx="5">
                  <c:v>0</c:v>
                </c:pt>
              </c:numCache>
            </c:numRef>
          </c:yVal>
          <c:smooth val="0"/>
        </c:ser>
        <c:axId val="31262161"/>
        <c:axId val="12923994"/>
      </c:scatterChart>
      <c:valAx>
        <c:axId val="31262161"/>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2923994"/>
        <c:crosses val="autoZero"/>
        <c:crossBetween val="midCat"/>
        <c:dispUnits/>
      </c:valAx>
      <c:valAx>
        <c:axId val="12923994"/>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262161"/>
        <c:crosses val="autoZero"/>
        <c:crossBetween val="midCat"/>
        <c:dispUnits/>
      </c:valAx>
      <c:spPr>
        <a:noFill/>
        <a:ln w="3175">
          <a:solidFill/>
        </a:ln>
      </c:spPr>
    </c:plotArea>
    <c:legend>
      <c:legendPos val="r"/>
      <c:layout>
        <c:manualLayout>
          <c:xMode val="edge"/>
          <c:yMode val="edge"/>
          <c:x val="0.801"/>
          <c:y val="0.8505"/>
          <c:w val="0.13525"/>
          <c:h val="0.079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25"/>
          <c:w val="0.99675"/>
          <c:h val="0.99875"/>
        </c:manualLayout>
      </c:layout>
      <c:scatterChart>
        <c:scatterStyle val="lineMarker"/>
        <c:varyColors val="0"/>
        <c:ser>
          <c:idx val="1"/>
          <c:order val="0"/>
          <c:tx>
            <c:v>Unadjusted Traverse</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FFFF"/>
              </a:solidFill>
              <a:ln>
                <a:solidFill>
                  <a:srgbClr val="333399"/>
                </a:solidFill>
              </a:ln>
            </c:spPr>
          </c:marker>
          <c:xVal>
            <c:numRef>
              <c:f>'Example Compass Adjustment'!$F$37:$F$84</c:f>
              <c:numCach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xVal>
          <c:yVal>
            <c:numRef>
              <c:f>'Example Compass Adjustment'!$G$37:$G$84</c:f>
              <c:numCach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yVal>
          <c:smooth val="0"/>
        </c:ser>
        <c:ser>
          <c:idx val="0"/>
          <c:order val="1"/>
          <c:tx>
            <c:v>Balanced Traverse</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9966"/>
              </a:solidFill>
              <a:ln>
                <a:solidFill>
                  <a:srgbClr val="00FF00"/>
                </a:solidFill>
              </a:ln>
            </c:spPr>
          </c:marker>
          <c:xVal>
            <c:numRef>
              <c:f>'Example Compass Adjustment'!$M$37:$M$84</c:f>
              <c:numCach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xVal>
          <c:yVal>
            <c:numRef>
              <c:f>'Example Compass Adjustment'!$N$37:$N$84</c:f>
              <c:numCach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yVal>
          <c:smooth val="0"/>
        </c:ser>
        <c:ser>
          <c:idx val="2"/>
          <c:order val="2"/>
          <c:tx>
            <c:v>North Direction</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'Example Compass Adjustment'!$S$37:$S$42</c:f>
              <c:numCache>
                <c:ptCount val="6"/>
                <c:pt idx="0">
                  <c:v>0</c:v>
                </c:pt>
                <c:pt idx="1">
                  <c:v>0</c:v>
                </c:pt>
                <c:pt idx="2">
                  <c:v>0</c:v>
                </c:pt>
                <c:pt idx="3">
                  <c:v>0</c:v>
                </c:pt>
                <c:pt idx="4">
                  <c:v>0</c:v>
                </c:pt>
                <c:pt idx="5">
                  <c:v>0</c:v>
                </c:pt>
              </c:numCache>
            </c:numRef>
          </c:xVal>
          <c:yVal>
            <c:numRef>
              <c:f>'Example Compass Adjustment'!$T$37:$T$42</c:f>
              <c:numCache>
                <c:ptCount val="6"/>
                <c:pt idx="0">
                  <c:v>0</c:v>
                </c:pt>
                <c:pt idx="1">
                  <c:v>0</c:v>
                </c:pt>
                <c:pt idx="2">
                  <c:v>0</c:v>
                </c:pt>
                <c:pt idx="3">
                  <c:v>0</c:v>
                </c:pt>
                <c:pt idx="4">
                  <c:v>0</c:v>
                </c:pt>
                <c:pt idx="5">
                  <c:v>0</c:v>
                </c:pt>
              </c:numCache>
            </c:numRef>
          </c:yVal>
          <c:smooth val="0"/>
        </c:ser>
        <c:axId val="49207083"/>
        <c:axId val="40210564"/>
      </c:scatterChart>
      <c:valAx>
        <c:axId val="49207083"/>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0210564"/>
        <c:crosses val="autoZero"/>
        <c:crossBetween val="midCat"/>
        <c:dispUnits/>
      </c:valAx>
      <c:valAx>
        <c:axId val="40210564"/>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207083"/>
        <c:crosses val="autoZero"/>
        <c:crossBetween val="midCat"/>
        <c:dispUnits/>
      </c:valAx>
      <c:spPr>
        <a:noFill/>
        <a:ln w="3175">
          <a:solidFill/>
        </a:ln>
      </c:spPr>
    </c:plotArea>
    <c:legend>
      <c:legendPos val="r"/>
      <c:layout>
        <c:manualLayout>
          <c:xMode val="edge"/>
          <c:yMode val="edge"/>
          <c:x val="0.816"/>
          <c:y val="0.83875"/>
          <c:w val="0.13525"/>
          <c:h val="0.079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1" i="0" u="none" baseline="0">
                <a:latin typeface="Arial"/>
                <a:ea typeface="Arial"/>
                <a:cs typeface="Arial"/>
              </a:rPr>
              <a:t>Rusty Axle Traverse</a:t>
            </a:r>
          </a:p>
        </c:rich>
      </c:tx>
      <c:layout>
        <c:manualLayout>
          <c:xMode val="factor"/>
          <c:yMode val="factor"/>
          <c:x val="-0.003"/>
          <c:y val="0.012"/>
        </c:manualLayout>
      </c:layout>
      <c:spPr>
        <a:noFill/>
        <a:ln>
          <a:noFill/>
        </a:ln>
      </c:spPr>
    </c:title>
    <c:plotArea>
      <c:layout>
        <c:manualLayout>
          <c:xMode val="edge"/>
          <c:yMode val="edge"/>
          <c:x val="0.038"/>
          <c:y val="0.10625"/>
          <c:w val="0.92275"/>
          <c:h val="0.83625"/>
        </c:manualLayout>
      </c:layout>
      <c:scatterChart>
        <c:scatterStyle val="lineMarker"/>
        <c:varyColors val="0"/>
        <c:ser>
          <c:idx val="3"/>
          <c:order val="0"/>
          <c:tx>
            <c:v>Leg A</c:v>
          </c:tx>
          <c:extLst>
            <c:ext xmlns:c14="http://schemas.microsoft.com/office/drawing/2007/8/2/chart" uri="{6F2FDCE9-48DA-4B69-8628-5D25D57E5C99}">
              <c14:invertSolidFillFmt>
                <c14:spPr>
                  <a:solidFill>
                    <a:srgbClr val="000000"/>
                  </a:solidFill>
                </c14:spPr>
              </c14:invertSolidFillFmt>
            </c:ext>
          </c:extLst>
          <c:xVal>
            <c:numRef>
              <c:f>'Example Compass Adjustment'!$M$48:$M$62</c:f>
              <c:numCache>
                <c:ptCount val="15"/>
                <c:pt idx="0">
                  <c:v>167.5531996375951</c:v>
                </c:pt>
                <c:pt idx="1">
                  <c:v>122.00589769902332</c:v>
                </c:pt>
                <c:pt idx="2">
                  <c:v>94.83019244064272</c:v>
                </c:pt>
                <c:pt idx="3">
                  <c:v>67.21746592165614</c:v>
                </c:pt>
                <c:pt idx="4">
                  <c:v>64.2250361616033</c:v>
                </c:pt>
                <c:pt idx="5">
                  <c:v>128.3738685458535</c:v>
                </c:pt>
                <c:pt idx="6">
                  <c:v>194.75513356758356</c:v>
                </c:pt>
                <c:pt idx="7">
                  <c:v>269.22220496137334</c:v>
                </c:pt>
                <c:pt idx="8">
                  <c:v>345.681982569558</c:v>
                </c:pt>
                <c:pt idx="9">
                  <c:v>413.3384878198787</c:v>
                </c:pt>
                <c:pt idx="10">
                  <c:v>441.0863125294295</c:v>
                </c:pt>
                <c:pt idx="11">
                  <c:v>510.4438468466475</c:v>
                </c:pt>
                <c:pt idx="12">
                  <c:v>582.453766781848</c:v>
                </c:pt>
                <c:pt idx="13">
                  <c:v>652.9596042965928</c:v>
                </c:pt>
                <c:pt idx="14">
                  <c:v>687.1705391061669</c:v>
                </c:pt>
              </c:numCache>
            </c:numRef>
          </c:xVal>
          <c:yVal>
            <c:numRef>
              <c:f>'Example Compass Adjustment'!$N$48:$N$62</c:f>
              <c:numCache>
                <c:ptCount val="15"/>
                <c:pt idx="0">
                  <c:v>684.9280883424752</c:v>
                </c:pt>
                <c:pt idx="1">
                  <c:v>598.3458541831267</c:v>
                </c:pt>
                <c:pt idx="2">
                  <c:v>552.6798569014164</c:v>
                </c:pt>
                <c:pt idx="3">
                  <c:v>495.4094032308914</c:v>
                </c:pt>
                <c:pt idx="4">
                  <c:v>483.14421638906157</c:v>
                </c:pt>
                <c:pt idx="5">
                  <c:v>458.70941734954647</c:v>
                </c:pt>
                <c:pt idx="6">
                  <c:v>436.03147021109373</c:v>
                </c:pt>
                <c:pt idx="7">
                  <c:v>412.02713445043725</c:v>
                </c:pt>
                <c:pt idx="8">
                  <c:v>381.3718232788031</c:v>
                </c:pt>
                <c:pt idx="9">
                  <c:v>354.2460417749361</c:v>
                </c:pt>
                <c:pt idx="10">
                  <c:v>347.38613867497236</c:v>
                </c:pt>
                <c:pt idx="11">
                  <c:v>323.69140347544874</c:v>
                </c:pt>
                <c:pt idx="12">
                  <c:v>301.8522047456241</c:v>
                </c:pt>
                <c:pt idx="13">
                  <c:v>281.7994219989136</c:v>
                </c:pt>
                <c:pt idx="14">
                  <c:v>267.38835334913983</c:v>
                </c:pt>
              </c:numCache>
            </c:numRef>
          </c:yVal>
          <c:smooth val="0"/>
        </c:ser>
        <c:ser>
          <c:idx val="4"/>
          <c:order val="1"/>
          <c:tx>
            <c:v>Leg B</c:v>
          </c:tx>
          <c:extLst>
            <c:ext xmlns:c14="http://schemas.microsoft.com/office/drawing/2007/8/2/chart" uri="{6F2FDCE9-48DA-4B69-8628-5D25D57E5C99}">
              <c14:invertSolidFillFmt>
                <c14:spPr>
                  <a:solidFill>
                    <a:srgbClr val="000000"/>
                  </a:solidFill>
                </c14:spPr>
              </c14:invertSolidFillFmt>
            </c:ext>
          </c:extLst>
          <c:xVal>
            <c:numRef>
              <c:f>'Example Compass Adjustment'!$M$62:$M$76</c:f>
              <c:numCache>
                <c:ptCount val="15"/>
                <c:pt idx="0">
                  <c:v>687.1705391061669</c:v>
                </c:pt>
                <c:pt idx="1">
                  <c:v>764.2084977378553</c:v>
                </c:pt>
                <c:pt idx="2">
                  <c:v>853.1885587402057</c:v>
                </c:pt>
                <c:pt idx="3">
                  <c:v>894.9223555305174</c:v>
                </c:pt>
                <c:pt idx="4">
                  <c:v>980.8362479399492</c:v>
                </c:pt>
                <c:pt idx="5">
                  <c:v>1024.2413832135326</c:v>
                </c:pt>
                <c:pt idx="6">
                  <c:v>1100.8585525731924</c:v>
                </c:pt>
                <c:pt idx="7">
                  <c:v>1154.0321266474018</c:v>
                </c:pt>
                <c:pt idx="8">
                  <c:v>1251.269437562404</c:v>
                </c:pt>
                <c:pt idx="9">
                  <c:v>1283.5222536103986</c:v>
                </c:pt>
                <c:pt idx="10">
                  <c:v>1370.7464283302945</c:v>
                </c:pt>
                <c:pt idx="11">
                  <c:v>1450.7029736909394</c:v>
                </c:pt>
                <c:pt idx="12">
                  <c:v>1514.432292576602</c:v>
                </c:pt>
                <c:pt idx="13">
                  <c:v>1604.3084654531904</c:v>
                </c:pt>
                <c:pt idx="14">
                  <c:v>1646.8052940230789</c:v>
                </c:pt>
              </c:numCache>
            </c:numRef>
          </c:xVal>
          <c:yVal>
            <c:numRef>
              <c:f>'Example Compass Adjustment'!$N$62:$N$76</c:f>
              <c:numCache>
                <c:ptCount val="15"/>
                <c:pt idx="0">
                  <c:v>267.38835334913983</c:v>
                </c:pt>
                <c:pt idx="1">
                  <c:v>236.50122984763118</c:v>
                </c:pt>
                <c:pt idx="2">
                  <c:v>212.8563859553852</c:v>
                </c:pt>
                <c:pt idx="3">
                  <c:v>197.78438345062926</c:v>
                </c:pt>
                <c:pt idx="4">
                  <c:v>205.3219991360345</c:v>
                </c:pt>
                <c:pt idx="5">
                  <c:v>206.10649964649798</c:v>
                </c:pt>
                <c:pt idx="6">
                  <c:v>261.47267288655536</c:v>
                </c:pt>
                <c:pt idx="7">
                  <c:v>274.69642396022357</c:v>
                </c:pt>
                <c:pt idx="8">
                  <c:v>237.65796101332396</c:v>
                </c:pt>
                <c:pt idx="9">
                  <c:v>225.37260757352092</c:v>
                </c:pt>
                <c:pt idx="10">
                  <c:v>247.06441208702438</c:v>
                </c:pt>
                <c:pt idx="11">
                  <c:v>261.1442983400788</c:v>
                </c:pt>
                <c:pt idx="12">
                  <c:v>266.73556070965606</c:v>
                </c:pt>
                <c:pt idx="13">
                  <c:v>268.3599745734944</c:v>
                </c:pt>
                <c:pt idx="14">
                  <c:v>268.39022885170664</c:v>
                </c:pt>
              </c:numCache>
            </c:numRef>
          </c:yVal>
          <c:smooth val="0"/>
        </c:ser>
        <c:ser>
          <c:idx val="5"/>
          <c:order val="2"/>
          <c:tx>
            <c:v>Leg C</c:v>
          </c:tx>
          <c:extLst>
            <c:ext xmlns:c14="http://schemas.microsoft.com/office/drawing/2007/8/2/chart" uri="{6F2FDCE9-48DA-4B69-8628-5D25D57E5C99}">
              <c14:invertSolidFillFmt>
                <c14:spPr>
                  <a:solidFill>
                    <a:srgbClr val="000000"/>
                  </a:solidFill>
                </c14:spPr>
              </c14:invertSolidFillFmt>
            </c:ext>
          </c:extLst>
          <c:xVal>
            <c:numRef>
              <c:f>'Example Compass Adjustment'!$M$76:$M$84</c:f>
              <c:numCache>
                <c:ptCount val="9"/>
                <c:pt idx="0">
                  <c:v>1646.8052940230789</c:v>
                </c:pt>
                <c:pt idx="1">
                  <c:v>1652.8526679185543</c:v>
                </c:pt>
                <c:pt idx="2">
                  <c:v>1612.6559291693814</c:v>
                </c:pt>
                <c:pt idx="3">
                  <c:v>1484.658008146258</c:v>
                </c:pt>
                <c:pt idx="4">
                  <c:v>1395.1417201867405</c:v>
                </c:pt>
                <c:pt idx="5">
                  <c:v>1233.397339135318</c:v>
                </c:pt>
                <c:pt idx="6">
                  <c:v>1162.5837136481998</c:v>
                </c:pt>
                <c:pt idx="7">
                  <c:v>1049.153038916944</c:v>
                </c:pt>
                <c:pt idx="8">
                  <c:v>1000</c:v>
                </c:pt>
              </c:numCache>
            </c:numRef>
          </c:xVal>
          <c:yVal>
            <c:numRef>
              <c:f>'Example Compass Adjustment'!$N$76:$N$84</c:f>
              <c:numCache>
                <c:ptCount val="9"/>
                <c:pt idx="0">
                  <c:v>268.39022885170664</c:v>
                </c:pt>
                <c:pt idx="1">
                  <c:v>348.7517518693775</c:v>
                </c:pt>
                <c:pt idx="2">
                  <c:v>428.65006663130424</c:v>
                </c:pt>
                <c:pt idx="3">
                  <c:v>600.1908446295479</c:v>
                </c:pt>
                <c:pt idx="4">
                  <c:v>850.2454274380073</c:v>
                </c:pt>
                <c:pt idx="5">
                  <c:v>956.0987890315375</c:v>
                </c:pt>
                <c:pt idx="6">
                  <c:v>968.7053001906191</c:v>
                </c:pt>
                <c:pt idx="7">
                  <c:v>974.7638037621896</c:v>
                </c:pt>
                <c:pt idx="8">
                  <c:v>1000</c:v>
                </c:pt>
              </c:numCache>
            </c:numRef>
          </c:yVal>
          <c:smooth val="0"/>
        </c:ser>
        <c:ser>
          <c:idx val="6"/>
          <c:order val="3"/>
          <c:tx>
            <c:v>Leg D</c:v>
          </c:tx>
          <c:extLst>
            <c:ext xmlns:c14="http://schemas.microsoft.com/office/drawing/2007/8/2/chart" uri="{6F2FDCE9-48DA-4B69-8628-5D25D57E5C99}">
              <c14:invertSolidFillFmt>
                <c14:spPr>
                  <a:solidFill>
                    <a:srgbClr val="000000"/>
                  </a:solidFill>
                </c14:spPr>
              </c14:invertSolidFillFmt>
            </c:ext>
          </c:extLst>
          <c:xVal>
            <c:numRef>
              <c:f>'Example Compass Adjustment'!$M$37:$M$48</c:f>
              <c:numCache>
                <c:ptCount val="12"/>
                <c:pt idx="0">
                  <c:v>1000</c:v>
                </c:pt>
                <c:pt idx="1">
                  <c:v>925.5733921926632</c:v>
                </c:pt>
                <c:pt idx="2">
                  <c:v>870.416003062929</c:v>
                </c:pt>
                <c:pt idx="3">
                  <c:v>792.1108255422982</c:v>
                </c:pt>
                <c:pt idx="4">
                  <c:v>749.3952057012183</c:v>
                </c:pt>
                <c:pt idx="5">
                  <c:v>671.6158823044935</c:v>
                </c:pt>
                <c:pt idx="6">
                  <c:v>559.078732683131</c:v>
                </c:pt>
                <c:pt idx="7">
                  <c:v>460.9503636450102</c:v>
                </c:pt>
                <c:pt idx="8">
                  <c:v>367.9244553531879</c:v>
                </c:pt>
                <c:pt idx="9">
                  <c:v>316.4199482138861</c:v>
                </c:pt>
                <c:pt idx="10">
                  <c:v>208.31794757901514</c:v>
                </c:pt>
                <c:pt idx="11">
                  <c:v>167.5531996375951</c:v>
                </c:pt>
              </c:numCache>
            </c:numRef>
          </c:xVal>
          <c:yVal>
            <c:numRef>
              <c:f>'Example Compass Adjustment'!$N$37:$N$48</c:f>
              <c:numCache>
                <c:ptCount val="12"/>
                <c:pt idx="0">
                  <c:v>1000</c:v>
                </c:pt>
                <c:pt idx="1">
                  <c:v>1075.0716564676059</c:v>
                </c:pt>
                <c:pt idx="2">
                  <c:v>1083.8956404120875</c:v>
                </c:pt>
                <c:pt idx="3">
                  <c:v>1077.0642868984892</c:v>
                </c:pt>
                <c:pt idx="4">
                  <c:v>1046.994828882962</c:v>
                </c:pt>
                <c:pt idx="5">
                  <c:v>926.1366038723703</c:v>
                </c:pt>
                <c:pt idx="6">
                  <c:v>889.4487544565197</c:v>
                </c:pt>
                <c:pt idx="7">
                  <c:v>896.4184562751127</c:v>
                </c:pt>
                <c:pt idx="8">
                  <c:v>911.3005805768473</c:v>
                </c:pt>
                <c:pt idx="9">
                  <c:v>875.0442270275483</c:v>
                </c:pt>
                <c:pt idx="10">
                  <c:v>719.33671990438</c:v>
                </c:pt>
                <c:pt idx="11">
                  <c:v>684.9280883424752</c:v>
                </c:pt>
              </c:numCache>
            </c:numRef>
          </c:yVal>
          <c:smooth val="0"/>
        </c:ser>
        <c:ser>
          <c:idx val="2"/>
          <c:order val="4"/>
          <c:tx>
            <c:v>North Arrow</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'Example Compass Adjustment'!$S$37:$S$42</c:f>
              <c:numCache>
                <c:ptCount val="6"/>
                <c:pt idx="0">
                  <c:v>1646.9811395260285</c:v>
                </c:pt>
                <c:pt idx="1">
                  <c:v>1723.6227685523422</c:v>
                </c:pt>
                <c:pt idx="2">
                  <c:v>1733.282026815233</c:v>
                </c:pt>
                <c:pt idx="3">
                  <c:v>1749.1699782277801</c:v>
                </c:pt>
                <c:pt idx="4">
                  <c:v>1713.9635102894515</c:v>
                </c:pt>
                <c:pt idx="5">
                  <c:v>1723.6227685523422</c:v>
                </c:pt>
              </c:numCache>
            </c:numRef>
          </c:xVal>
          <c:yVal>
            <c:numRef>
              <c:f>'Example Compass Adjustment'!$T$37:$T$42</c:f>
              <c:numCache>
                <c:ptCount val="6"/>
                <c:pt idx="0">
                  <c:v>840.008738597996</c:v>
                </c:pt>
                <c:pt idx="1">
                  <c:v>1000.7523680120124</c:v>
                </c:pt>
                <c:pt idx="2">
                  <c:v>998.1641775609872</c:v>
                </c:pt>
                <c:pt idx="3">
                  <c:v>1054.3335778166845</c:v>
                </c:pt>
                <c:pt idx="4">
                  <c:v>1003.3405584630376</c:v>
                </c:pt>
                <c:pt idx="5">
                  <c:v>1000.7523680120124</c:v>
                </c:pt>
              </c:numCache>
            </c:numRef>
          </c:yVal>
          <c:smooth val="0"/>
        </c:ser>
        <c:axId val="26350757"/>
        <c:axId val="35830222"/>
      </c:scatterChart>
      <c:valAx>
        <c:axId val="26350757"/>
        <c:scaling>
          <c:orientation val="minMax"/>
          <c:max val="2300"/>
          <c:min val="0"/>
        </c:scaling>
        <c:axPos val="b"/>
        <c:title>
          <c:tx>
            <c:rich>
              <a:bodyPr vert="horz" rot="0" anchor="ctr"/>
              <a:lstStyle/>
              <a:p>
                <a:pPr algn="ctr">
                  <a:defRPr/>
                </a:pPr>
                <a:r>
                  <a:rPr lang="en-US" cap="none" sz="1625" b="1" i="0" u="none" baseline="0">
                    <a:latin typeface="Arial"/>
                    <a:ea typeface="Arial"/>
                    <a:cs typeface="Arial"/>
                  </a:rPr>
                  <a:t>Easting (ft.)</a:t>
                </a:r>
              </a:p>
            </c:rich>
          </c:tx>
          <c:layout/>
          <c:overlay val="0"/>
          <c:spPr>
            <a:noFill/>
            <a:ln>
              <a:noFill/>
            </a:ln>
          </c:spPr>
        </c:title>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35830222"/>
        <c:crosses val="autoZero"/>
        <c:crossBetween val="midCat"/>
        <c:dispUnits/>
      </c:valAx>
      <c:valAx>
        <c:axId val="35830222"/>
        <c:scaling>
          <c:orientation val="minMax"/>
        </c:scaling>
        <c:axPos val="l"/>
        <c:title>
          <c:tx>
            <c:rich>
              <a:bodyPr vert="horz" rot="-5400000" anchor="ctr"/>
              <a:lstStyle/>
              <a:p>
                <a:pPr algn="ctr">
                  <a:defRPr/>
                </a:pPr>
                <a:r>
                  <a:rPr lang="en-US" cap="none" sz="1625" b="1" i="0" u="none" baseline="0">
                    <a:latin typeface="Arial"/>
                    <a:ea typeface="Arial"/>
                    <a:cs typeface="Arial"/>
                  </a:rPr>
                  <a:t>Northing (ft.)</a:t>
                </a:r>
              </a:p>
            </c:rich>
          </c:tx>
          <c:layout/>
          <c:overlay val="0"/>
          <c:spPr>
            <a:noFill/>
            <a:ln>
              <a:noFill/>
            </a:ln>
          </c:spPr>
        </c:title>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26350757"/>
        <c:crosses val="autoZero"/>
        <c:crossBetween val="midCat"/>
        <c:dispUnits/>
      </c:valAx>
      <c:spPr>
        <a:noFill/>
        <a:ln w="3175">
          <a:solidFill/>
        </a:ln>
      </c:spPr>
    </c:plotArea>
    <c:legend>
      <c:legendPos val="r"/>
      <c:layout>
        <c:manualLayout>
          <c:xMode val="edge"/>
          <c:yMode val="edge"/>
          <c:x val="0.7585"/>
          <c:y val="0.72475"/>
          <c:w val="0.13575"/>
          <c:h val="0.10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6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xdr:row>
      <xdr:rowOff>95250</xdr:rowOff>
    </xdr:from>
    <xdr:to>
      <xdr:col>13</xdr:col>
      <xdr:colOff>523875</xdr:colOff>
      <xdr:row>62</xdr:row>
      <xdr:rowOff>9525</xdr:rowOff>
    </xdr:to>
    <xdr:sp>
      <xdr:nvSpPr>
        <xdr:cNvPr id="1" name="TextBox 1"/>
        <xdr:cNvSpPr txBox="1">
          <a:spLocks noChangeArrowheads="1"/>
        </xdr:cNvSpPr>
      </xdr:nvSpPr>
      <xdr:spPr>
        <a:xfrm>
          <a:off x="266700" y="257175"/>
          <a:ext cx="8181975" cy="9791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000" b="0" i="0" u="none" baseline="0">
              <a:latin typeface="Arial"/>
              <a:ea typeface="Arial"/>
              <a:cs typeface="Arial"/>
            </a:rPr>
            <a:t>Traverse XL</a:t>
          </a:r>
          <a:r>
            <a:rPr lang="en-US" cap="none" sz="1000" b="0" i="0" u="none" baseline="0">
              <a:latin typeface="Arial"/>
              <a:ea typeface="Arial"/>
              <a:cs typeface="Arial"/>
            </a:rPr>
            <a:t>
</a:t>
          </a:r>
          <a:r>
            <a:rPr lang="en-US" cap="none" sz="1200" b="1" i="0" u="none" baseline="0">
              <a:latin typeface="Arial"/>
              <a:ea typeface="Arial"/>
              <a:cs typeface="Arial"/>
            </a:rPr>
            <a:t>Overview:</a:t>
          </a:r>
          <a:r>
            <a:rPr lang="en-US" cap="none" sz="1000" b="0" i="0" u="none" baseline="0">
              <a:latin typeface="Arial"/>
              <a:ea typeface="Arial"/>
              <a:cs typeface="Arial"/>
            </a:rPr>
            <a:t>
Traverse XL provides an easy way to input and analyze traverse data for closed polygon traverses as well as open linear traverses. This program uses the graphing tools provided in Excel and automatically displays the traverse data as it is entered.
For closed polygon traverses, the program balances the traverse using the compass method, provides statistics regarding misclosure and precision and calculates traverse perimeter and area. For open linear traverses, the program determines the distance and direction of the ending point relative to the starting point. Some additional features that are built in to the traverse worksheets are the ability to rotate traverse data as well as a way to convert horizontal measurement data from meters to feet (or vice versa).
In addition to the data entry and traverse analysis worksheets, there is a page that provides methods for converting angular data. Finally, an example traverse is provided that includes an annotated map showing the type of output that can be generated using the charting functions provided in Excel. 
</a:t>
          </a:r>
          <a:r>
            <a:rPr lang="en-US" cap="none" sz="1200" b="1" i="0" u="none" baseline="0">
              <a:latin typeface="Arial"/>
              <a:ea typeface="Arial"/>
              <a:cs typeface="Arial"/>
            </a:rPr>
            <a:t>Instructions:</a:t>
          </a:r>
          <a:r>
            <a:rPr lang="en-US" cap="none" sz="1000" b="0" i="0" u="none" baseline="0">
              <a:latin typeface="Arial"/>
              <a:ea typeface="Arial"/>
              <a:cs typeface="Arial"/>
            </a:rPr>
            <a:t>
Enter traverse data in to the appropriate yellow shaded cells on the 'Data Entry' worksheet. Traverse points must be specified by either entering x,y coordinates or by entering a combination of a distance and an angle. With respect to distances, the spreadsheet is designed to accept either horizontal distance directly or calculate a horizontal distance when a slope distance and slope percentage is supplied. With respect to angles, the spreadsheet will accept either azimuth or bearings.
The data from the 'Data Entry' worksheet is automatically linked to the 'Compass Rule Adjustment' and 'Linear Traverse' worksheets. 
</a:t>
          </a:r>
          <a:r>
            <a:rPr lang="en-US" cap="none" sz="1200" b="1" i="0" u="none" baseline="0">
              <a:latin typeface="Arial"/>
              <a:ea typeface="Arial"/>
              <a:cs typeface="Arial"/>
            </a:rPr>
            <a:t>Worksheets Included:</a:t>
          </a:r>
          <a:r>
            <a:rPr lang="en-US" cap="none" sz="1000" b="0" i="0" u="none" baseline="0">
              <a:latin typeface="Arial"/>
              <a:ea typeface="Arial"/>
              <a:cs typeface="Arial"/>
            </a:rPr>
            <a:t>
</a:t>
          </a:r>
          <a:r>
            <a:rPr lang="en-US" cap="none" sz="1000" b="1" i="0" u="none" baseline="0">
              <a:latin typeface="Arial"/>
              <a:ea typeface="Arial"/>
              <a:cs typeface="Arial"/>
            </a:rPr>
            <a:t>Data Entry</a:t>
          </a:r>
          <a:r>
            <a:rPr lang="en-US" cap="none" sz="1000" b="0" i="0" u="none" baseline="0">
              <a:latin typeface="Arial"/>
              <a:ea typeface="Arial"/>
              <a:cs typeface="Arial"/>
            </a:rPr>
            <a:t>:This worksheet should be used for enteringr traverse data. Traverse data must be entered in the yellow shaded cells only. A valid traverse point is defined by x,y coordinates OR a combination of a distance measurement and angle measurement. If you choose to paste coordinate point data into this worksheet, you might consider using Excel's 'Paste Special' -&gt; Values option so that the cell formats are preserved.
</a:t>
          </a:r>
          <a:r>
            <a:rPr lang="en-US" cap="none" sz="1000" b="1" i="0" u="none" baseline="0">
              <a:latin typeface="Arial"/>
              <a:ea typeface="Arial"/>
              <a:cs typeface="Arial"/>
            </a:rPr>
            <a:t>Compass Rule Adjustment: </a:t>
          </a:r>
          <a:r>
            <a:rPr lang="en-US" cap="none" sz="1000" b="0" i="0" u="none" baseline="0">
              <a:latin typeface="Arial"/>
              <a:ea typeface="Arial"/>
              <a:cs typeface="Arial"/>
            </a:rPr>
            <a:t>This</a:t>
          </a:r>
          <a:r>
            <a:rPr lang="en-US" cap="none" sz="1000" b="0" i="0" u="none" baseline="0">
              <a:latin typeface="Arial"/>
              <a:ea typeface="Arial"/>
              <a:cs typeface="Arial"/>
            </a:rPr>
            <a:t> worksheet can be used for analyzing closed (polygon) traverse measurements and provides tools for assessing traverse closure. In addition to the traverse measurements input by the user, adjusted measurements for a mathematically closed traverse are automatically generated and can be copied for use in other applications.  A visual display contains a map of the original and adjusted traverse measurements.
</a:t>
          </a:r>
          <a:r>
            <a:rPr lang="en-US" cap="none" sz="1000" b="1" i="0" u="none" baseline="0">
              <a:latin typeface="Arial"/>
              <a:ea typeface="Arial"/>
              <a:cs typeface="Arial"/>
            </a:rPr>
            <a:t>Linear Traverse: </a:t>
          </a:r>
          <a:r>
            <a:rPr lang="en-US" cap="none" sz="1000" b="0" i="0" u="none" baseline="0">
              <a:latin typeface="Arial"/>
              <a:ea typeface="Arial"/>
              <a:cs typeface="Arial"/>
            </a:rPr>
            <a:t>This work</a:t>
          </a:r>
          <a:r>
            <a:rPr lang="en-US" cap="none" sz="1000" b="0" i="0" u="none" baseline="0">
              <a:latin typeface="Arial"/>
              <a:ea typeface="Arial"/>
              <a:cs typeface="Arial"/>
            </a:rPr>
            <a:t>sheet can be used when analyzing open (linear) traverse measurements and provides measurement statistics including distances (Euclidean and total traverse length), directions between starting and ending points and number of traverse courses.  A visual display of the traverse course is included.
</a:t>
          </a:r>
          <a:r>
            <a:rPr lang="en-US" cap="none" sz="1000" b="1" i="0" u="none" baseline="0">
              <a:latin typeface="Arial"/>
              <a:ea typeface="Arial"/>
              <a:cs typeface="Arial"/>
            </a:rPr>
            <a:t>Conversion Tools:</a:t>
          </a:r>
          <a:r>
            <a:rPr lang="en-US" cap="none" sz="1000" b="0" i="0" u="none" baseline="0">
              <a:latin typeface="Arial"/>
              <a:ea typeface="Arial"/>
              <a:cs typeface="Arial"/>
            </a:rPr>
            <a:t> This worksheet contains tools that allow users to convert angle units and to calculate distance and direction between a set of coordinates.
</a:t>
          </a:r>
          <a:r>
            <a:rPr lang="en-US" cap="none" sz="1000" b="1" i="0" u="none" baseline="0">
              <a:latin typeface="Arial"/>
              <a:ea typeface="Arial"/>
              <a:cs typeface="Arial"/>
            </a:rPr>
            <a:t>Example Data Entry: </a:t>
          </a:r>
          <a:r>
            <a:rPr lang="en-US" cap="none" sz="1000" b="0" i="0" u="none" baseline="0">
              <a:latin typeface="Arial"/>
              <a:ea typeface="Arial"/>
              <a:cs typeface="Arial"/>
            </a:rPr>
            <a:t>This work</a:t>
          </a:r>
          <a:r>
            <a:rPr lang="en-US" cap="none" sz="1000" b="0" i="0" u="none" baseline="0">
              <a:latin typeface="Arial"/>
              <a:ea typeface="Arial"/>
              <a:cs typeface="Arial"/>
            </a:rPr>
            <a:t>sheet contains example data for a closed polygon traverse.
</a:t>
          </a:r>
          <a:r>
            <a:rPr lang="en-US" cap="none" sz="1000" b="1" i="0" u="none" baseline="0">
              <a:latin typeface="Arial"/>
              <a:ea typeface="Arial"/>
              <a:cs typeface="Arial"/>
            </a:rPr>
            <a:t>Example Compass Adjustment:</a:t>
          </a:r>
          <a:r>
            <a:rPr lang="en-US" cap="none" sz="1000" b="0" i="0" u="none" baseline="0">
              <a:latin typeface="Arial"/>
              <a:ea typeface="Arial"/>
              <a:cs typeface="Arial"/>
            </a:rPr>
            <a:t> This worksheet demonstrates the sample output from the values in the 'Example Data Entry' worksheet.
</a:t>
          </a:r>
          <a:r>
            <a:rPr lang="en-US" cap="none" sz="1000" b="1" i="0" u="none" baseline="0">
              <a:latin typeface="Arial"/>
              <a:ea typeface="Arial"/>
              <a:cs typeface="Arial"/>
            </a:rPr>
            <a:t>Example Traverse Map: </a:t>
          </a:r>
          <a:r>
            <a:rPr lang="en-US" cap="none" sz="1000" b="0" i="0" u="none" baseline="0">
              <a:latin typeface="Arial"/>
              <a:ea typeface="Arial"/>
              <a:cs typeface="Arial"/>
            </a:rPr>
            <a:t>This chart demonstrates the type of traverse maps that can be generated using this program. 
</a:t>
          </a:r>
          <a:r>
            <a:rPr lang="en-US" cap="none" sz="1200" b="1" i="0" u="none" baseline="0">
              <a:latin typeface="Arial"/>
              <a:ea typeface="Arial"/>
              <a:cs typeface="Arial"/>
            </a:rPr>
            <a:t>Other Comments / Suggestions:
</a:t>
          </a:r>
          <a:r>
            <a:rPr lang="en-US" cap="none" sz="1000" b="0" i="0" u="none" baseline="0">
              <a:latin typeface="Arial"/>
              <a:ea typeface="Arial"/>
              <a:cs typeface="Arial"/>
            </a:rPr>
            <a:t>If you wish to use this workbook to analyze multiple traverses, you might consider saving the original file as a template (File -&gt; Save As Type (Template: *.xlt). When you wish to enter data for a traverse, open Excel, select 'FIle-&gt; New' and choose the template name. This will ensure that the workbook will always be opened in the same state.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0</xdr:row>
      <xdr:rowOff>161925</xdr:rowOff>
    </xdr:from>
    <xdr:to>
      <xdr:col>9</xdr:col>
      <xdr:colOff>2781300</xdr:colOff>
      <xdr:row>11</xdr:row>
      <xdr:rowOff>47625</xdr:rowOff>
    </xdr:to>
    <xdr:graphicFrame>
      <xdr:nvGraphicFramePr>
        <xdr:cNvPr id="1" name="Chart 1"/>
        <xdr:cNvGraphicFramePr/>
      </xdr:nvGraphicFramePr>
      <xdr:xfrm>
        <a:off x="7115175" y="161925"/>
        <a:ext cx="7762875" cy="29813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1</xdr:row>
      <xdr:rowOff>19050</xdr:rowOff>
    </xdr:from>
    <xdr:to>
      <xdr:col>13</xdr:col>
      <xdr:colOff>1352550</xdr:colOff>
      <xdr:row>32</xdr:row>
      <xdr:rowOff>57150</xdr:rowOff>
    </xdr:to>
    <xdr:graphicFrame>
      <xdr:nvGraphicFramePr>
        <xdr:cNvPr id="1" name="Chart 1"/>
        <xdr:cNvGraphicFramePr/>
      </xdr:nvGraphicFramePr>
      <xdr:xfrm>
        <a:off x="6838950" y="704850"/>
        <a:ext cx="12563475" cy="64008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762000</xdr:colOff>
      <xdr:row>1</xdr:row>
      <xdr:rowOff>19050</xdr:rowOff>
    </xdr:from>
    <xdr:to>
      <xdr:col>10</xdr:col>
      <xdr:colOff>0</xdr:colOff>
      <xdr:row>27</xdr:row>
      <xdr:rowOff>57150</xdr:rowOff>
    </xdr:to>
    <xdr:graphicFrame>
      <xdr:nvGraphicFramePr>
        <xdr:cNvPr id="1" name="Chart 1"/>
        <xdr:cNvGraphicFramePr/>
      </xdr:nvGraphicFramePr>
      <xdr:xfrm>
        <a:off x="6134100" y="704850"/>
        <a:ext cx="9772650" cy="5867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0</xdr:row>
      <xdr:rowOff>161925</xdr:rowOff>
    </xdr:from>
    <xdr:to>
      <xdr:col>9</xdr:col>
      <xdr:colOff>2781300</xdr:colOff>
      <xdr:row>11</xdr:row>
      <xdr:rowOff>47625</xdr:rowOff>
    </xdr:to>
    <xdr:graphicFrame>
      <xdr:nvGraphicFramePr>
        <xdr:cNvPr id="1" name="Chart 1"/>
        <xdr:cNvGraphicFramePr/>
      </xdr:nvGraphicFramePr>
      <xdr:xfrm>
        <a:off x="7115175" y="161925"/>
        <a:ext cx="7762875" cy="29813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1</xdr:row>
      <xdr:rowOff>19050</xdr:rowOff>
    </xdr:from>
    <xdr:to>
      <xdr:col>13</xdr:col>
      <xdr:colOff>1352550</xdr:colOff>
      <xdr:row>32</xdr:row>
      <xdr:rowOff>57150</xdr:rowOff>
    </xdr:to>
    <xdr:graphicFrame>
      <xdr:nvGraphicFramePr>
        <xdr:cNvPr id="1" name="Chart 1"/>
        <xdr:cNvGraphicFramePr/>
      </xdr:nvGraphicFramePr>
      <xdr:xfrm>
        <a:off x="6838950" y="704850"/>
        <a:ext cx="12563475" cy="6400800"/>
      </xdr:xfrm>
      <a:graphic>
        <a:graphicData uri="http://schemas.openxmlformats.org/drawingml/2006/chart">
          <c:chart xmlns:c="http://schemas.openxmlformats.org/drawingml/2006/chart" r:id="rId1"/>
        </a:graphicData>
      </a:graphic>
    </xdr:graphicFrame>
    <xdr:clientData/>
  </xdr:twoCellAnchor>
  <xdr:twoCellAnchor>
    <xdr:from>
      <xdr:col>4</xdr:col>
      <xdr:colOff>85725</xdr:colOff>
      <xdr:row>1</xdr:row>
      <xdr:rowOff>19050</xdr:rowOff>
    </xdr:from>
    <xdr:to>
      <xdr:col>13</xdr:col>
      <xdr:colOff>1352550</xdr:colOff>
      <xdr:row>32</xdr:row>
      <xdr:rowOff>57150</xdr:rowOff>
    </xdr:to>
    <xdr:graphicFrame>
      <xdr:nvGraphicFramePr>
        <xdr:cNvPr id="2" name="Chart 2"/>
        <xdr:cNvGraphicFramePr/>
      </xdr:nvGraphicFramePr>
      <xdr:xfrm>
        <a:off x="6838950" y="704850"/>
        <a:ext cx="12563475" cy="6400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0.72475</cdr:x>
      <cdr:y>0.289</cdr:y>
    </cdr:from>
    <cdr:to>
      <cdr:x>0.75325</cdr:x>
      <cdr:y>0.34025</cdr:y>
    </cdr:to>
    <cdr:sp>
      <cdr:nvSpPr>
        <cdr:cNvPr id="1" name="TextBox 2"/>
        <cdr:cNvSpPr txBox="1">
          <a:spLocks noChangeArrowheads="1"/>
        </cdr:cNvSpPr>
      </cdr:nvSpPr>
      <cdr:spPr>
        <a:xfrm>
          <a:off x="6924675" y="1581150"/>
          <a:ext cx="276225" cy="285750"/>
        </a:xfrm>
        <a:prstGeom prst="rect">
          <a:avLst/>
        </a:prstGeom>
        <a:noFill/>
        <a:ln w="9525" cmpd="sng">
          <a:noFill/>
        </a:ln>
      </cdr:spPr>
      <cdr:txBody>
        <a:bodyPr vertOverflow="clip" wrap="square"/>
        <a:p>
          <a:pPr algn="l">
            <a:defRPr/>
          </a:pPr>
          <a:r>
            <a:rPr lang="en-US" cap="none" sz="1625" b="0" i="0" u="none" baseline="0">
              <a:solidFill>
                <a:srgbClr val="FF0000"/>
              </a:solidFill>
              <a:latin typeface="Arial"/>
              <a:ea typeface="Arial"/>
              <a:cs typeface="Arial"/>
            </a:rPr>
            <a:t>N</a:t>
          </a:r>
        </a:p>
      </cdr:txBody>
    </cdr:sp>
  </cdr:relSizeAnchor>
  <cdr:relSizeAnchor xmlns:cdr="http://schemas.openxmlformats.org/drawingml/2006/chartDrawing">
    <cdr:from>
      <cdr:x>0.75325</cdr:x>
      <cdr:y>0.6655</cdr:y>
    </cdr:from>
    <cdr:to>
      <cdr:x>0.88925</cdr:x>
      <cdr:y>0.71725</cdr:y>
    </cdr:to>
    <cdr:sp>
      <cdr:nvSpPr>
        <cdr:cNvPr id="2" name="TextBox 4"/>
        <cdr:cNvSpPr txBox="1">
          <a:spLocks noChangeArrowheads="1"/>
        </cdr:cNvSpPr>
      </cdr:nvSpPr>
      <cdr:spPr>
        <a:xfrm>
          <a:off x="7200900" y="3648075"/>
          <a:ext cx="1304925" cy="285750"/>
        </a:xfrm>
        <a:prstGeom prst="rect">
          <a:avLst/>
        </a:prstGeom>
        <a:noFill/>
        <a:ln w="9525" cmpd="sng">
          <a:noFill/>
        </a:ln>
      </cdr:spPr>
      <cdr:txBody>
        <a:bodyPr vertOverflow="clip" wrap="square"/>
        <a:p>
          <a:pPr algn="l">
            <a:defRPr/>
          </a:pPr>
          <a:r>
            <a:rPr lang="en-US" cap="none" sz="1175" b="1" i="0" u="none" baseline="0">
              <a:latin typeface="Arial"/>
              <a:ea typeface="Arial"/>
              <a:cs typeface="Arial"/>
            </a:rPr>
            <a:t>Traverse Legs</a:t>
          </a:r>
        </a:p>
      </cdr:txBody>
    </cdr:sp>
  </cdr:relSizeAnchor>
  <cdr:relSizeAnchor xmlns:cdr="http://schemas.openxmlformats.org/drawingml/2006/chartDrawing">
    <cdr:from>
      <cdr:x>0.44925</cdr:x>
      <cdr:y>0.24575</cdr:y>
    </cdr:from>
    <cdr:to>
      <cdr:x>0.45975</cdr:x>
      <cdr:y>0.26325</cdr:y>
    </cdr:to>
    <cdr:sp>
      <cdr:nvSpPr>
        <cdr:cNvPr id="3" name="Rectangle 10"/>
        <cdr:cNvSpPr>
          <a:spLocks/>
        </cdr:cNvSpPr>
      </cdr:nvSpPr>
      <cdr:spPr>
        <a:xfrm>
          <a:off x="4295775" y="1343025"/>
          <a:ext cx="104775" cy="95250"/>
        </a:xfrm>
        <a:prstGeom prst="rect">
          <a:avLst/>
        </a:prstGeom>
        <a:solidFill>
          <a:srgbClr val="000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0.697</cdr:x>
      <cdr:y>0.70275</cdr:y>
    </cdr:from>
    <cdr:to>
      <cdr:x>0.70575</cdr:x>
      <cdr:y>0.72025</cdr:y>
    </cdr:to>
    <cdr:sp>
      <cdr:nvSpPr>
        <cdr:cNvPr id="4" name="Rectangle 11"/>
        <cdr:cNvSpPr>
          <a:spLocks/>
        </cdr:cNvSpPr>
      </cdr:nvSpPr>
      <cdr:spPr>
        <a:xfrm>
          <a:off x="6657975" y="3857625"/>
          <a:ext cx="85725" cy="95250"/>
        </a:xfrm>
        <a:prstGeom prst="rect">
          <a:avLst/>
        </a:prstGeom>
        <a:solidFill>
          <a:srgbClr val="000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0.3315</cdr:x>
      <cdr:y>0.70275</cdr:y>
    </cdr:from>
    <cdr:to>
      <cdr:x>0.34</cdr:x>
      <cdr:y>0.722</cdr:y>
    </cdr:to>
    <cdr:sp>
      <cdr:nvSpPr>
        <cdr:cNvPr id="5" name="Rectangle 12"/>
        <cdr:cNvSpPr>
          <a:spLocks/>
        </cdr:cNvSpPr>
      </cdr:nvSpPr>
      <cdr:spPr>
        <a:xfrm>
          <a:off x="3162300" y="3857625"/>
          <a:ext cx="85725" cy="104775"/>
        </a:xfrm>
        <a:prstGeom prst="rect">
          <a:avLst/>
        </a:prstGeom>
        <a:solidFill>
          <a:srgbClr val="000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0.1375</cdr:x>
      <cdr:y>0.449</cdr:y>
    </cdr:from>
    <cdr:to>
      <cdr:x>0.14775</cdr:x>
      <cdr:y>0.46575</cdr:y>
    </cdr:to>
    <cdr:sp>
      <cdr:nvSpPr>
        <cdr:cNvPr id="6" name="Rectangle 13"/>
        <cdr:cNvSpPr>
          <a:spLocks/>
        </cdr:cNvSpPr>
      </cdr:nvSpPr>
      <cdr:spPr>
        <a:xfrm>
          <a:off x="1314450" y="2466975"/>
          <a:ext cx="95250" cy="95250"/>
        </a:xfrm>
        <a:prstGeom prst="rect">
          <a:avLst/>
        </a:prstGeom>
        <a:solidFill>
          <a:srgbClr val="000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0.477</cdr:x>
      <cdr:y>0.19075</cdr:y>
    </cdr:from>
    <cdr:to>
      <cdr:x>0.52625</cdr:x>
      <cdr:y>0.34025</cdr:y>
    </cdr:to>
    <cdr:sp>
      <cdr:nvSpPr>
        <cdr:cNvPr id="7" name="Line 15"/>
        <cdr:cNvSpPr>
          <a:spLocks/>
        </cdr:cNvSpPr>
      </cdr:nvSpPr>
      <cdr:spPr>
        <a:xfrm flipH="1">
          <a:off x="4552950" y="1047750"/>
          <a:ext cx="466725" cy="819150"/>
        </a:xfrm>
        <a:prstGeom prst="line">
          <a:avLst/>
        </a:prstGeom>
        <a:noFill/>
        <a:ln w="38100" cmpd="dbl">
          <a:solidFill>
            <a:srgbClr val="333399"/>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0.387</cdr:x>
      <cdr:y>0.651</cdr:y>
    </cdr:from>
    <cdr:to>
      <cdr:x>0.477</cdr:x>
      <cdr:y>0.73625</cdr:y>
    </cdr:to>
    <cdr:sp>
      <cdr:nvSpPr>
        <cdr:cNvPr id="8" name="Line 16"/>
        <cdr:cNvSpPr>
          <a:spLocks/>
        </cdr:cNvSpPr>
      </cdr:nvSpPr>
      <cdr:spPr>
        <a:xfrm>
          <a:off x="3695700" y="3571875"/>
          <a:ext cx="857250" cy="466725"/>
        </a:xfrm>
        <a:prstGeom prst="line">
          <a:avLst/>
        </a:prstGeom>
        <a:noFill/>
        <a:ln w="25400" cmpd="dbl">
          <a:solidFill>
            <a:srgbClr val="FF0000"/>
          </a:solidFill>
          <a:prstDash val="sys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0.5315</cdr:x>
      <cdr:y>0.57875</cdr:y>
    </cdr:from>
    <cdr:to>
      <cdr:x>0.5315</cdr:x>
      <cdr:y>0.7195</cdr:y>
    </cdr:to>
    <cdr:sp>
      <cdr:nvSpPr>
        <cdr:cNvPr id="9" name="Line 17"/>
        <cdr:cNvSpPr>
          <a:spLocks/>
        </cdr:cNvSpPr>
      </cdr:nvSpPr>
      <cdr:spPr>
        <a:xfrm>
          <a:off x="5076825" y="3171825"/>
          <a:ext cx="0" cy="771525"/>
        </a:xfrm>
        <a:prstGeom prst="line">
          <a:avLst/>
        </a:prstGeom>
        <a:noFill/>
        <a:ln w="25400" cmpd="dbl">
          <a:solidFill>
            <a:srgbClr val="FF0000"/>
          </a:solidFill>
          <a:prstDash val="sys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0.1685</cdr:x>
      <cdr:y>0.36825</cdr:y>
    </cdr:from>
    <cdr:to>
      <cdr:x>0.3505</cdr:x>
      <cdr:y>0.51075</cdr:y>
    </cdr:to>
    <cdr:grpSp>
      <cdr:nvGrpSpPr>
        <cdr:cNvPr id="10" name="Group 39"/>
        <cdr:cNvGrpSpPr>
          <a:grpSpLocks/>
        </cdr:cNvGrpSpPr>
      </cdr:nvGrpSpPr>
      <cdr:grpSpPr>
        <a:xfrm>
          <a:off x="1609725" y="2019300"/>
          <a:ext cx="1743075" cy="781050"/>
          <a:chOff x="2429113" y="2024729"/>
          <a:chExt cx="1630633" cy="787242"/>
        </a:xfrm>
        <a:solidFill>
          <a:srgbClr val="FFFFFF"/>
        </a:solidFill>
      </cdr:grpSpPr>
      <cdr:sp>
        <cdr:nvSpPr>
          <cdr:cNvPr id="11" name="Line 18"/>
          <cdr:cNvSpPr>
            <a:spLocks/>
          </cdr:cNvSpPr>
        </cdr:nvSpPr>
        <cdr:spPr>
          <a:xfrm>
            <a:off x="2429113" y="2252636"/>
            <a:ext cx="1173648" cy="92501"/>
          </a:xfrm>
          <a:prstGeom prst="line">
            <a:avLst/>
          </a:prstGeom>
          <a:noFill/>
          <a:ln w="38100" cmpd="dbl">
            <a:solidFill>
              <a:srgbClr val="3366FF"/>
            </a:solidFill>
            <a:prstDash val="sysDash"/>
            <a:headEnd type="none"/>
            <a:tailEnd type="none"/>
          </a:ln>
        </cdr:spPr>
        <cdr:txBody>
          <a:bodyPr vertOverflow="clip" wrap="square"/>
          <a:p>
            <a:pPr algn="l">
              <a:defRPr/>
            </a:pPr>
            <a:r>
              <a:rPr lang="en-US" cap="none" u="none" baseline="0">
                <a:latin typeface="Arial"/>
                <a:ea typeface="Arial"/>
                <a:cs typeface="Arial"/>
              </a:rPr>
              <a:t/>
            </a:r>
          </a:p>
        </cdr:txBody>
      </cdr:sp>
      <cdr:sp>
        <cdr:nvSpPr>
          <cdr:cNvPr id="12" name="Line 22"/>
          <cdr:cNvSpPr>
            <a:spLocks/>
          </cdr:cNvSpPr>
        </cdr:nvSpPr>
        <cdr:spPr>
          <a:xfrm flipH="1" flipV="1">
            <a:off x="3701414" y="2024729"/>
            <a:ext cx="101099" cy="227907"/>
          </a:xfrm>
          <a:prstGeom prst="line">
            <a:avLst/>
          </a:prstGeom>
          <a:noFill/>
          <a:ln w="38100" cmpd="dbl">
            <a:solidFill>
              <a:srgbClr val="3366FF"/>
            </a:solidFill>
            <a:prstDash val="sysDash"/>
            <a:headEnd type="none"/>
            <a:tailEnd type="none"/>
          </a:ln>
        </cdr:spPr>
        <cdr:txBody>
          <a:bodyPr vertOverflow="clip" wrap="square"/>
          <a:p>
            <a:pPr algn="l">
              <a:defRPr/>
            </a:pPr>
            <a:r>
              <a:rPr lang="en-US" cap="none" u="none" baseline="0">
                <a:latin typeface="Arial"/>
                <a:ea typeface="Arial"/>
                <a:cs typeface="Arial"/>
              </a:rPr>
              <a:t/>
            </a:r>
          </a:p>
        </cdr:txBody>
      </cdr:sp>
      <cdr:sp>
        <cdr:nvSpPr>
          <cdr:cNvPr id="13" name="Line 23"/>
          <cdr:cNvSpPr>
            <a:spLocks/>
          </cdr:cNvSpPr>
        </cdr:nvSpPr>
        <cdr:spPr>
          <a:xfrm flipV="1">
            <a:off x="3578709" y="2176667"/>
            <a:ext cx="481037" cy="168470"/>
          </a:xfrm>
          <a:prstGeom prst="line">
            <a:avLst/>
          </a:prstGeom>
          <a:noFill/>
          <a:ln w="38100" cmpd="dbl">
            <a:solidFill>
              <a:srgbClr val="3366FF"/>
            </a:solidFill>
            <a:prstDash val="sysDash"/>
            <a:headEnd type="none"/>
            <a:tailEnd type="none"/>
          </a:ln>
        </cdr:spPr>
        <cdr:txBody>
          <a:bodyPr vertOverflow="clip" wrap="square"/>
          <a:p>
            <a:pPr algn="l">
              <a:defRPr/>
            </a:pPr>
            <a:r>
              <a:rPr lang="en-US" cap="none" u="none" baseline="0">
                <a:latin typeface="Arial"/>
                <a:ea typeface="Arial"/>
                <a:cs typeface="Arial"/>
              </a:rPr>
              <a:t/>
            </a:r>
          </a:p>
        </cdr:txBody>
      </cdr:sp>
      <cdr:sp>
        <cdr:nvSpPr>
          <cdr:cNvPr id="14" name="Line 24"/>
          <cdr:cNvSpPr>
            <a:spLocks/>
          </cdr:cNvSpPr>
        </cdr:nvSpPr>
        <cdr:spPr>
          <a:xfrm>
            <a:off x="3571371" y="2345136"/>
            <a:ext cx="317566" cy="466835"/>
          </a:xfrm>
          <a:prstGeom prst="line">
            <a:avLst/>
          </a:prstGeom>
          <a:noFill/>
          <a:ln w="38100" cmpd="dbl">
            <a:solidFill>
              <a:srgbClr val="3366FF"/>
            </a:solidFill>
            <a:prstDash val="sysDash"/>
            <a:headEnd type="none"/>
            <a:tailEnd type="none"/>
          </a:ln>
        </cdr:spPr>
        <cdr:txBody>
          <a:bodyPr vertOverflow="clip" wrap="square"/>
          <a:p>
            <a:pPr algn="l">
              <a:defRPr/>
            </a:pPr>
            <a:r>
              <a:rPr lang="en-US" cap="none" u="none" baseline="0">
                <a:latin typeface="Arial"/>
                <a:ea typeface="Arial"/>
                <a:cs typeface="Arial"/>
              </a:rPr>
              <a:t/>
            </a:r>
          </a:p>
        </cdr:txBody>
      </cdr:sp>
    </cdr:grpSp>
  </cdr:relSizeAnchor>
  <cdr:relSizeAnchor xmlns:cdr="http://schemas.openxmlformats.org/drawingml/2006/chartDrawing">
    <cdr:from>
      <cdr:x>0.09575</cdr:x>
      <cdr:y>0.60075</cdr:y>
    </cdr:from>
    <cdr:to>
      <cdr:x>0.322</cdr:x>
      <cdr:y>0.73725</cdr:y>
    </cdr:to>
    <cdr:sp>
      <cdr:nvSpPr>
        <cdr:cNvPr id="15" name="Line 26"/>
        <cdr:cNvSpPr>
          <a:spLocks/>
        </cdr:cNvSpPr>
      </cdr:nvSpPr>
      <cdr:spPr>
        <a:xfrm>
          <a:off x="914400" y="3295650"/>
          <a:ext cx="2162175" cy="752475"/>
        </a:xfrm>
        <a:prstGeom prst="line">
          <a:avLst/>
        </a:prstGeom>
        <a:noFill/>
        <a:ln w="15875" cmpd="sng">
          <a:solidFill>
            <a:srgbClr val="000000"/>
          </a:solidFill>
          <a:prstDash val="sys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0.29675</cdr:x>
      <cdr:y>0.73725</cdr:y>
    </cdr:from>
    <cdr:to>
      <cdr:x>0.32025</cdr:x>
      <cdr:y>0.7935</cdr:y>
    </cdr:to>
    <cdr:sp>
      <cdr:nvSpPr>
        <cdr:cNvPr id="16" name="Line 27"/>
        <cdr:cNvSpPr>
          <a:spLocks/>
        </cdr:cNvSpPr>
      </cdr:nvSpPr>
      <cdr:spPr>
        <a:xfrm flipH="1">
          <a:off x="2828925" y="4048125"/>
          <a:ext cx="228600" cy="304800"/>
        </a:xfrm>
        <a:prstGeom prst="line">
          <a:avLst/>
        </a:prstGeom>
        <a:noFill/>
        <a:ln w="15875" cmpd="sng">
          <a:solidFill>
            <a:srgbClr val="000000"/>
          </a:solidFill>
          <a:prstDash val="sys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0.716</cdr:x>
      <cdr:y>0.38125</cdr:y>
    </cdr:from>
    <cdr:to>
      <cdr:x>0.965</cdr:x>
      <cdr:y>0.63125</cdr:y>
    </cdr:to>
    <cdr:grpSp>
      <cdr:nvGrpSpPr>
        <cdr:cNvPr id="17" name="Group 40"/>
        <cdr:cNvGrpSpPr>
          <a:grpSpLocks/>
        </cdr:cNvGrpSpPr>
      </cdr:nvGrpSpPr>
      <cdr:grpSpPr>
        <a:xfrm>
          <a:off x="6838950" y="2085975"/>
          <a:ext cx="2381250" cy="1371600"/>
          <a:chOff x="6986707" y="2252615"/>
          <a:chExt cx="1943290" cy="1173956"/>
        </a:xfrm>
        <a:solidFill>
          <a:srgbClr val="FFFFFF"/>
        </a:solidFill>
      </cdr:grpSpPr>
      <cdr:sp>
        <cdr:nvSpPr>
          <cdr:cNvPr id="18" name="Rectangle 33"/>
          <cdr:cNvSpPr>
            <a:spLocks/>
          </cdr:cNvSpPr>
        </cdr:nvSpPr>
        <cdr:spPr>
          <a:xfrm>
            <a:off x="6986707" y="2483297"/>
            <a:ext cx="1669286" cy="897783"/>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9" name="Rectangle 14"/>
          <cdr:cNvSpPr>
            <a:spLocks/>
          </cdr:cNvSpPr>
        </cdr:nvSpPr>
        <cdr:spPr>
          <a:xfrm>
            <a:off x="7342815" y="2530256"/>
            <a:ext cx="86476" cy="96558"/>
          </a:xfrm>
          <a:prstGeom prst="rect">
            <a:avLst/>
          </a:prstGeom>
          <a:solidFill>
            <a:srgbClr val="000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20" name="Line 28"/>
          <cdr:cNvSpPr>
            <a:spLocks/>
          </cdr:cNvSpPr>
        </cdr:nvSpPr>
        <cdr:spPr>
          <a:xfrm flipV="1">
            <a:off x="7171805" y="2770623"/>
            <a:ext cx="404204" cy="4109"/>
          </a:xfrm>
          <a:prstGeom prst="line">
            <a:avLst/>
          </a:prstGeom>
          <a:noFill/>
          <a:ln w="15875" cmpd="sng">
            <a:solidFill>
              <a:srgbClr val="000000"/>
            </a:solidFill>
            <a:prstDash val="sysDash"/>
            <a:headEnd type="none"/>
            <a:tailEnd type="none"/>
          </a:ln>
        </cdr:spPr>
        <cdr:txBody>
          <a:bodyPr vertOverflow="clip" wrap="square"/>
          <a:p>
            <a:pPr algn="l">
              <a:defRPr/>
            </a:pPr>
            <a:r>
              <a:rPr lang="en-US" cap="none" u="none" baseline="0">
                <a:latin typeface="Arial"/>
                <a:ea typeface="Arial"/>
                <a:cs typeface="Arial"/>
              </a:rPr>
              <a:t/>
            </a:r>
          </a:p>
        </cdr:txBody>
      </cdr:sp>
      <cdr:sp>
        <cdr:nvSpPr>
          <cdr:cNvPr id="21" name="Line 29"/>
          <cdr:cNvSpPr>
            <a:spLocks/>
          </cdr:cNvSpPr>
        </cdr:nvSpPr>
        <cdr:spPr>
          <a:xfrm>
            <a:off x="7171805" y="2943195"/>
            <a:ext cx="411492" cy="4109"/>
          </a:xfrm>
          <a:prstGeom prst="line">
            <a:avLst/>
          </a:prstGeom>
          <a:noFill/>
          <a:ln w="25400" cmpd="dbl">
            <a:solidFill>
              <a:srgbClr val="FF0000"/>
            </a:solidFill>
            <a:prstDash val="sysDash"/>
            <a:headEnd type="none"/>
            <a:tailEnd type="none"/>
          </a:ln>
        </cdr:spPr>
        <cdr:txBody>
          <a:bodyPr vertOverflow="clip" wrap="square"/>
          <a:p>
            <a:pPr algn="l">
              <a:defRPr/>
            </a:pPr>
            <a:r>
              <a:rPr lang="en-US" cap="none" u="none" baseline="0">
                <a:latin typeface="Arial"/>
                <a:ea typeface="Arial"/>
                <a:cs typeface="Arial"/>
              </a:rPr>
              <a:t/>
            </a:r>
          </a:p>
        </cdr:txBody>
      </cdr:sp>
      <cdr:sp>
        <cdr:nvSpPr>
          <cdr:cNvPr id="22" name="Line 30"/>
          <cdr:cNvSpPr>
            <a:spLocks/>
          </cdr:cNvSpPr>
        </cdr:nvSpPr>
        <cdr:spPr>
          <a:xfrm flipH="1" flipV="1">
            <a:off x="7171805" y="3072917"/>
            <a:ext cx="351250" cy="4109"/>
          </a:xfrm>
          <a:prstGeom prst="line">
            <a:avLst/>
          </a:prstGeom>
          <a:noFill/>
          <a:ln w="38100" cmpd="dbl">
            <a:solidFill>
              <a:srgbClr val="333399"/>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23" name="Line 31"/>
          <cdr:cNvSpPr>
            <a:spLocks/>
          </cdr:cNvSpPr>
        </cdr:nvSpPr>
        <cdr:spPr>
          <a:xfrm>
            <a:off x="7171805" y="3245782"/>
            <a:ext cx="411492" cy="4109"/>
          </a:xfrm>
          <a:prstGeom prst="line">
            <a:avLst/>
          </a:prstGeom>
          <a:noFill/>
          <a:ln w="38100" cmpd="dbl">
            <a:solidFill>
              <a:srgbClr val="3366FF"/>
            </a:solidFill>
            <a:prstDash val="sysDash"/>
            <a:headEnd type="none"/>
            <a:tailEnd type="none"/>
          </a:ln>
        </cdr:spPr>
        <cdr:txBody>
          <a:bodyPr vertOverflow="clip" wrap="square"/>
          <a:p>
            <a:pPr algn="l">
              <a:defRPr/>
            </a:pPr>
            <a:r>
              <a:rPr lang="en-US" cap="none" u="none" baseline="0">
                <a:latin typeface="Arial"/>
                <a:ea typeface="Arial"/>
                <a:cs typeface="Arial"/>
              </a:rPr>
              <a:t/>
            </a:r>
          </a:p>
        </cdr:txBody>
      </cdr:sp>
      <cdr:sp>
        <cdr:nvSpPr>
          <cdr:cNvPr id="24" name="TextBox 32"/>
          <cdr:cNvSpPr txBox="1">
            <a:spLocks noChangeArrowheads="1"/>
          </cdr:cNvSpPr>
        </cdr:nvSpPr>
        <cdr:spPr>
          <a:xfrm>
            <a:off x="7662486" y="2530256"/>
            <a:ext cx="1267511" cy="89631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2x2 Wooden Hub
Fence
Draw Bottom
Culvert
Trail</a:t>
            </a:r>
          </a:p>
        </cdr:txBody>
      </cdr:sp>
      <cdr:sp>
        <cdr:nvSpPr>
          <cdr:cNvPr id="25" name="TextBox 34"/>
          <cdr:cNvSpPr txBox="1">
            <a:spLocks noChangeArrowheads="1"/>
          </cdr:cNvSpPr>
        </cdr:nvSpPr>
        <cdr:spPr>
          <a:xfrm>
            <a:off x="6986707" y="2252615"/>
            <a:ext cx="1373420" cy="320490"/>
          </a:xfrm>
          <a:prstGeom prst="rect">
            <a:avLst/>
          </a:prstGeom>
          <a:noFill/>
          <a:ln w="9525" cmpd="sng">
            <a:noFill/>
          </a:ln>
        </cdr:spPr>
        <cdr:txBody>
          <a:bodyPr vertOverflow="clip" wrap="square"/>
          <a:p>
            <a:pPr algn="l">
              <a:defRPr/>
            </a:pPr>
            <a:r>
              <a:rPr lang="en-US" cap="none" sz="1175" b="1" i="0" u="none" baseline="0">
                <a:latin typeface="Arial"/>
                <a:ea typeface="Arial"/>
                <a:cs typeface="Arial"/>
              </a:rPr>
              <a:t>Symbol Legend</a:t>
            </a:r>
          </a:p>
        </cdr:txBody>
      </cdr:sp>
    </cdr:grpSp>
  </cdr:relSizeAnchor>
  <cdr:relSizeAnchor xmlns:cdr="http://schemas.openxmlformats.org/drawingml/2006/chartDrawing">
    <cdr:from>
      <cdr:x>0.1105</cdr:x>
      <cdr:y>0.177</cdr:y>
    </cdr:from>
    <cdr:to>
      <cdr:x>0.2145</cdr:x>
      <cdr:y>0.24575</cdr:y>
    </cdr:to>
    <cdr:sp>
      <cdr:nvSpPr>
        <cdr:cNvPr id="26" name="AutoShape 38"/>
        <cdr:cNvSpPr>
          <a:spLocks/>
        </cdr:cNvSpPr>
      </cdr:nvSpPr>
      <cdr:spPr>
        <a:xfrm>
          <a:off x="1047750" y="971550"/>
          <a:ext cx="990600" cy="381000"/>
        </a:xfrm>
        <a:prstGeom prst="borderCallout2">
          <a:avLst>
            <a:gd name="adj1" fmla="val 138777"/>
            <a:gd name="adj2" fmla="val 120000"/>
            <a:gd name="adj3" fmla="val 114583"/>
            <a:gd name="adj4" fmla="val -19796"/>
            <a:gd name="adj5" fmla="val 58166"/>
            <a:gd name="adj6" fmla="val -19796"/>
            <a:gd name="adj7" fmla="val -26143"/>
            <a:gd name="adj8" fmla="val 39592"/>
          </a:avLst>
        </a:prstGeom>
        <a:solidFill>
          <a:srgbClr val="FFFFFF"/>
        </a:solidFill>
        <a:ln w="9525" cmpd="sng">
          <a:solidFill>
            <a:srgbClr val="000000"/>
          </a:solidFill>
          <a:headEnd type="stealth"/>
          <a:tailEnd type="none"/>
        </a:ln>
      </cdr:spPr>
      <cdr:txBody>
        <a:bodyPr vertOverflow="clip" wrap="square"/>
        <a:p>
          <a:pPr algn="ctr">
            <a:defRPr/>
          </a:pPr>
          <a:r>
            <a:rPr lang="en-US" cap="none" sz="1175" b="0" i="0" u="none" baseline="0">
              <a:latin typeface="Arial"/>
              <a:ea typeface="Arial"/>
              <a:cs typeface="Arial"/>
            </a:rPr>
            <a:t>Graded Dirt Road</a:t>
          </a:r>
        </a:p>
      </cdr:txBody>
    </cdr:sp>
  </cdr:relSizeAnchor>
  <cdr:relSizeAnchor xmlns:cdr="http://schemas.openxmlformats.org/drawingml/2006/chartDrawing">
    <cdr:from>
      <cdr:x>0.905</cdr:x>
      <cdr:y>0.92525</cdr:y>
    </cdr:from>
    <cdr:to>
      <cdr:x>0.99075</cdr:x>
      <cdr:y>0.99125</cdr:y>
    </cdr:to>
    <cdr:sp>
      <cdr:nvSpPr>
        <cdr:cNvPr id="27" name="TextBox 41"/>
        <cdr:cNvSpPr txBox="1">
          <a:spLocks noChangeArrowheads="1"/>
        </cdr:cNvSpPr>
      </cdr:nvSpPr>
      <cdr:spPr>
        <a:xfrm>
          <a:off x="8648700" y="5076825"/>
          <a:ext cx="819150" cy="361950"/>
        </a:xfrm>
        <a:prstGeom prst="rect">
          <a:avLst/>
        </a:prstGeom>
        <a:noFill/>
        <a:ln w="9525" cmpd="sng">
          <a:noFill/>
        </a:ln>
      </cdr:spPr>
      <cdr:txBody>
        <a:bodyPr vertOverflow="clip" wrap="square"/>
        <a:p>
          <a:pPr algn="l">
            <a:defRPr/>
          </a:pPr>
          <a:r>
            <a:rPr lang="en-US" cap="none" sz="975" b="0" i="0" u="none" baseline="0">
              <a:latin typeface="Arial"/>
              <a:ea typeface="Arial"/>
              <a:cs typeface="Arial"/>
            </a:rPr>
            <a:t>B. Fredericks
2/5/2005</a:t>
          </a:r>
        </a:p>
      </cdr:txBody>
    </cdr:sp>
  </cdr:relSizeAnchor>
  <cdr:relSizeAnchor xmlns:cdr="http://schemas.openxmlformats.org/drawingml/2006/chartDrawing">
    <cdr:from>
      <cdr:x>0.10275</cdr:x>
      <cdr:y>0.168</cdr:y>
    </cdr:from>
    <cdr:to>
      <cdr:x>0.717</cdr:x>
      <cdr:y>0.722</cdr:y>
    </cdr:to>
    <cdr:sp>
      <cdr:nvSpPr>
        <cdr:cNvPr id="28" name="AutoShape 42"/>
        <cdr:cNvSpPr>
          <a:spLocks/>
        </cdr:cNvSpPr>
      </cdr:nvSpPr>
      <cdr:spPr>
        <a:xfrm>
          <a:off x="981075" y="914400"/>
          <a:ext cx="5876925" cy="3048000"/>
        </a:xfrm>
        <a:custGeom>
          <a:pathLst>
            <a:path h="3051175" w="5500687">
              <a:moveTo>
                <a:pt x="5486400" y="3051175"/>
              </a:moveTo>
              <a:cubicBezTo>
                <a:pt x="5493543" y="2929731"/>
                <a:pt x="5500687" y="2808287"/>
                <a:pt x="5486400" y="2717800"/>
              </a:cubicBezTo>
              <a:cubicBezTo>
                <a:pt x="5472113" y="2627313"/>
                <a:pt x="5497512" y="2663825"/>
                <a:pt x="5400675" y="2508250"/>
              </a:cubicBezTo>
              <a:cubicBezTo>
                <a:pt x="5303838" y="2352675"/>
                <a:pt x="5037137" y="2043112"/>
                <a:pt x="4905375" y="1784350"/>
              </a:cubicBezTo>
              <a:cubicBezTo>
                <a:pt x="4773613" y="1525588"/>
                <a:pt x="4762500" y="1165225"/>
                <a:pt x="4610100" y="955675"/>
              </a:cubicBezTo>
              <a:cubicBezTo>
                <a:pt x="4457700" y="746125"/>
                <a:pt x="4189413" y="614363"/>
                <a:pt x="3990975" y="527050"/>
              </a:cubicBezTo>
              <a:cubicBezTo>
                <a:pt x="3792537" y="439737"/>
                <a:pt x="3586162" y="498475"/>
                <a:pt x="3419475" y="431800"/>
              </a:cubicBezTo>
              <a:cubicBezTo>
                <a:pt x="3252788" y="365125"/>
                <a:pt x="3149600" y="190500"/>
                <a:pt x="2990850" y="127000"/>
              </a:cubicBezTo>
              <a:cubicBezTo>
                <a:pt x="2832100" y="63500"/>
                <a:pt x="2611437" y="0"/>
                <a:pt x="2466975" y="50800"/>
              </a:cubicBezTo>
              <a:cubicBezTo>
                <a:pt x="2322513" y="101600"/>
                <a:pt x="2208212" y="328613"/>
                <a:pt x="2124075" y="431800"/>
              </a:cubicBezTo>
              <a:cubicBezTo>
                <a:pt x="2039938" y="534987"/>
                <a:pt x="2027237" y="615950"/>
                <a:pt x="1962150" y="669925"/>
              </a:cubicBezTo>
              <a:cubicBezTo>
                <a:pt x="1897063" y="723900"/>
                <a:pt x="1814512" y="738188"/>
                <a:pt x="1733550" y="755650"/>
              </a:cubicBezTo>
              <a:cubicBezTo>
                <a:pt x="1652588" y="773112"/>
                <a:pt x="1598612" y="788988"/>
                <a:pt x="1476375" y="774700"/>
              </a:cubicBezTo>
              <a:cubicBezTo>
                <a:pt x="1354138" y="760412"/>
                <a:pt x="1147762" y="614362"/>
                <a:pt x="1000125" y="669925"/>
              </a:cubicBezTo>
              <a:cubicBezTo>
                <a:pt x="852488" y="725488"/>
                <a:pt x="757237" y="996950"/>
                <a:pt x="590550" y="1108075"/>
              </a:cubicBezTo>
              <a:cubicBezTo>
                <a:pt x="423863" y="1219200"/>
                <a:pt x="98425" y="1298575"/>
                <a:pt x="0" y="1336675"/>
              </a:cubicBezTo>
            </a:path>
          </a:pathLst>
        </a:cu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63100" cy="5495925"/>
    <xdr:graphicFrame>
      <xdr:nvGraphicFramePr>
        <xdr:cNvPr id="1" name="Shape 1025"/>
        <xdr:cNvGraphicFramePr/>
      </xdr:nvGraphicFramePr>
      <xdr:xfrm>
        <a:off x="0" y="0"/>
        <a:ext cx="9563100" cy="54959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A1"/>
  <sheetViews>
    <sheetView tabSelected="1" zoomScale="85" zoomScaleNormal="85" workbookViewId="0" topLeftCell="A1">
      <selection activeCell="P10" sqref="P10"/>
    </sheetView>
  </sheetViews>
  <sheetFormatPr defaultColWidth="9.140625" defaultRowHeight="12.75"/>
  <sheetData/>
  <sheetProtection sheet="1" objects="1" scenarios="1"/>
  <printOptions/>
  <pageMargins left="0.75" right="0.75" top="1" bottom="1" header="0.5" footer="0.5"/>
  <pageSetup horizontalDpi="300" verticalDpi="300" orientation="portrait" scale="71" r:id="rId2"/>
  <drawing r:id="rId1"/>
</worksheet>
</file>

<file path=xl/worksheets/sheet2.xml><?xml version="1.0" encoding="utf-8"?>
<worksheet xmlns="http://schemas.openxmlformats.org/spreadsheetml/2006/main" xmlns:r="http://schemas.openxmlformats.org/officeDocument/2006/relationships">
  <dimension ref="A1:AC118"/>
  <sheetViews>
    <sheetView zoomScale="50" zoomScaleNormal="50" zoomScaleSheetLayoutView="124" workbookViewId="0" topLeftCell="A1">
      <pane ySplit="15" topLeftCell="BM16" activePane="bottomLeft" state="frozen"/>
      <selection pane="topLeft" activeCell="A1" sqref="A1"/>
      <selection pane="bottomLeft" activeCell="C35" sqref="C35"/>
    </sheetView>
  </sheetViews>
  <sheetFormatPr defaultColWidth="9.140625" defaultRowHeight="12.75"/>
  <cols>
    <col min="1" max="4" width="25.7109375" style="7" customWidth="1"/>
    <col min="5" max="7" width="15.7109375" style="7" customWidth="1"/>
    <col min="8" max="8" width="15.7109375" style="1" customWidth="1"/>
    <col min="9" max="9" width="15.7109375" style="41" customWidth="1"/>
    <col min="10" max="10" width="44.28125" style="41" customWidth="1"/>
    <col min="11" max="11" width="3.7109375" style="41" customWidth="1"/>
    <col min="12" max="13" width="20.7109375" style="41" customWidth="1"/>
    <col min="14" max="16" width="20.7109375" style="4" customWidth="1"/>
    <col min="17" max="17" width="20.7109375" style="0" customWidth="1"/>
    <col min="18" max="20" width="20.7109375" style="1" customWidth="1"/>
    <col min="21" max="21" width="3.7109375" style="0" customWidth="1"/>
    <col min="22" max="23" width="20.7109375" style="0" customWidth="1"/>
    <col min="24" max="24" width="3.7109375" style="0" customWidth="1"/>
    <col min="25" max="26" width="20.7109375" style="0" customWidth="1"/>
  </cols>
  <sheetData>
    <row r="1" spans="1:20" ht="54" customHeight="1">
      <c r="A1" s="35" t="s">
        <v>94</v>
      </c>
      <c r="B1" s="35"/>
      <c r="C1" s="35"/>
      <c r="D1" s="35"/>
      <c r="E1" s="35"/>
      <c r="F1" s="35"/>
      <c r="G1" s="35"/>
      <c r="H1" s="35"/>
      <c r="I1" s="35"/>
      <c r="J1" s="35"/>
      <c r="K1" s="67"/>
      <c r="L1" s="35"/>
      <c r="M1" s="35"/>
      <c r="N1" s="35"/>
      <c r="O1" s="35"/>
      <c r="P1" s="35"/>
      <c r="Q1" s="35"/>
      <c r="R1" s="35"/>
      <c r="S1" s="35"/>
      <c r="T1" s="35"/>
    </row>
    <row r="2" spans="1:20" ht="14.25" customHeight="1">
      <c r="A2" s="35"/>
      <c r="B2" s="91"/>
      <c r="C2" s="91"/>
      <c r="D2" s="91"/>
      <c r="E2" s="35"/>
      <c r="F2" s="35"/>
      <c r="G2" s="35"/>
      <c r="H2" s="35"/>
      <c r="I2" s="35"/>
      <c r="J2" s="35"/>
      <c r="K2" s="67"/>
      <c r="L2" s="35"/>
      <c r="M2" s="35"/>
      <c r="N2" s="35"/>
      <c r="O2" s="35"/>
      <c r="P2" s="35"/>
      <c r="Q2" s="35"/>
      <c r="R2" s="35"/>
      <c r="S2" s="35"/>
      <c r="T2" s="35"/>
    </row>
    <row r="3" spans="1:20" ht="14.25" customHeight="1" thickBot="1">
      <c r="A3" s="51"/>
      <c r="B3" s="2" t="s">
        <v>98</v>
      </c>
      <c r="C3" s="2" t="s">
        <v>99</v>
      </c>
      <c r="E3" s="35"/>
      <c r="F3" s="35"/>
      <c r="G3" s="35"/>
      <c r="H3" s="35"/>
      <c r="I3" s="35"/>
      <c r="J3" s="35"/>
      <c r="K3" s="67"/>
      <c r="L3" s="35"/>
      <c r="M3" s="35"/>
      <c r="N3" s="35"/>
      <c r="O3" s="35"/>
      <c r="P3" s="35"/>
      <c r="Q3" s="35"/>
      <c r="R3" s="35"/>
      <c r="S3" s="35"/>
      <c r="T3" s="35"/>
    </row>
    <row r="4" spans="1:20" ht="24.75" thickBot="1" thickTop="1">
      <c r="A4" s="50" t="s">
        <v>121</v>
      </c>
      <c r="B4" s="177">
        <v>0</v>
      </c>
      <c r="C4" s="177">
        <v>0</v>
      </c>
      <c r="D4" s="21" t="s">
        <v>122</v>
      </c>
      <c r="E4" s="35"/>
      <c r="F4" s="35"/>
      <c r="G4" s="35"/>
      <c r="H4" s="35"/>
      <c r="I4" s="35"/>
      <c r="J4" s="35"/>
      <c r="K4" s="67"/>
      <c r="L4" s="35"/>
      <c r="M4" s="35"/>
      <c r="N4" s="35"/>
      <c r="O4" s="35"/>
      <c r="P4" s="35"/>
      <c r="Q4" s="35"/>
      <c r="R4" s="35"/>
      <c r="S4" s="35"/>
      <c r="T4" s="35"/>
    </row>
    <row r="5" spans="1:20" ht="13.5" customHeight="1" thickBot="1" thickTop="1">
      <c r="A5" s="35"/>
      <c r="B5" s="35"/>
      <c r="C5" s="35"/>
      <c r="D5" s="35"/>
      <c r="E5" s="35"/>
      <c r="F5" s="35"/>
      <c r="G5" s="35"/>
      <c r="H5" s="35"/>
      <c r="I5" s="35"/>
      <c r="J5" s="35"/>
      <c r="K5" s="67"/>
      <c r="L5" s="35"/>
      <c r="M5" s="35"/>
      <c r="N5" s="35"/>
      <c r="O5" s="35"/>
      <c r="P5" s="35"/>
      <c r="Q5" s="35"/>
      <c r="R5" s="95"/>
      <c r="S5" s="95"/>
      <c r="T5" s="95"/>
    </row>
    <row r="6" spans="1:20" ht="27" customHeight="1" thickBot="1" thickTop="1">
      <c r="A6" s="50" t="s">
        <v>105</v>
      </c>
      <c r="B6" s="177">
        <v>0</v>
      </c>
      <c r="C6" s="324" t="s">
        <v>130</v>
      </c>
      <c r="D6" s="358"/>
      <c r="E6" s="36"/>
      <c r="F6" s="1"/>
      <c r="G6" s="1"/>
      <c r="I6" s="42"/>
      <c r="J6" s="42"/>
      <c r="L6" s="325" t="s">
        <v>91</v>
      </c>
      <c r="M6" s="326"/>
      <c r="Q6" s="1"/>
      <c r="R6" s="95"/>
      <c r="S6" s="95"/>
      <c r="T6" s="95"/>
    </row>
    <row r="7" spans="1:20" ht="14.25" thickBot="1" thickTop="1">
      <c r="A7" s="51"/>
      <c r="E7" s="1"/>
      <c r="F7" s="1"/>
      <c r="H7"/>
      <c r="I7" s="42"/>
      <c r="J7" s="42"/>
      <c r="L7" s="16" t="s">
        <v>90</v>
      </c>
      <c r="M7" s="178">
        <v>0</v>
      </c>
      <c r="R7" s="95"/>
      <c r="S7" s="95"/>
      <c r="T7" s="95"/>
    </row>
    <row r="8" spans="1:20" ht="26.25" customHeight="1" thickBot="1" thickTop="1">
      <c r="A8" s="50" t="s">
        <v>128</v>
      </c>
      <c r="B8" s="177">
        <v>0</v>
      </c>
      <c r="C8" s="359" t="s">
        <v>93</v>
      </c>
      <c r="D8" s="360"/>
      <c r="E8" s="15"/>
      <c r="F8" s="53"/>
      <c r="G8" s="53"/>
      <c r="H8"/>
      <c r="I8" s="42"/>
      <c r="J8" s="42"/>
      <c r="L8" s="18" t="s">
        <v>47</v>
      </c>
      <c r="M8" s="179">
        <v>0</v>
      </c>
      <c r="R8" s="95"/>
      <c r="S8" s="95"/>
      <c r="T8" s="95"/>
    </row>
    <row r="9" spans="1:20" ht="27" thickBot="1" thickTop="1">
      <c r="A9" s="50" t="s">
        <v>164</v>
      </c>
      <c r="B9" s="177">
        <v>0.3048</v>
      </c>
      <c r="C9" s="361" t="s">
        <v>111</v>
      </c>
      <c r="D9" s="360"/>
      <c r="E9" s="15"/>
      <c r="F9" s="53"/>
      <c r="G9" s="53"/>
      <c r="I9" s="42"/>
      <c r="J9" s="42"/>
      <c r="L9" s="18" t="s">
        <v>48</v>
      </c>
      <c r="M9" s="179">
        <v>0</v>
      </c>
      <c r="R9" s="95"/>
      <c r="S9" s="95"/>
      <c r="T9" s="95"/>
    </row>
    <row r="10" spans="1:13" ht="14.25" thickBot="1" thickTop="1">
      <c r="A10" s="15"/>
      <c r="B10" s="44"/>
      <c r="C10" s="44"/>
      <c r="D10" s="21"/>
      <c r="E10" s="15"/>
      <c r="F10" s="45"/>
      <c r="G10" s="46"/>
      <c r="I10" s="42"/>
      <c r="J10" s="42"/>
      <c r="L10" s="19" t="s">
        <v>87</v>
      </c>
      <c r="M10" s="179">
        <v>30</v>
      </c>
    </row>
    <row r="11" spans="1:13" ht="14.25" thickBot="1" thickTop="1">
      <c r="A11" s="15" t="s">
        <v>110</v>
      </c>
      <c r="B11" s="203">
        <f>COUNT(Q17:Q116)</f>
        <v>0</v>
      </c>
      <c r="F11" s="53"/>
      <c r="I11" s="42"/>
      <c r="J11" s="42"/>
      <c r="L11" s="20" t="s">
        <v>88</v>
      </c>
      <c r="M11" s="180">
        <v>0.25</v>
      </c>
    </row>
    <row r="12" spans="1:14" ht="14.25" thickBot="1" thickTop="1">
      <c r="A12" s="96"/>
      <c r="B12" s="97"/>
      <c r="C12" s="97"/>
      <c r="D12" s="97"/>
      <c r="I12" s="42"/>
      <c r="J12" s="42"/>
      <c r="K12" s="42"/>
      <c r="L12" s="42"/>
      <c r="M12" s="42"/>
      <c r="N12" s="13"/>
    </row>
    <row r="13" spans="1:26" s="57" customFormat="1" ht="18.75" thickTop="1">
      <c r="A13" s="353" t="s">
        <v>100</v>
      </c>
      <c r="B13" s="354"/>
      <c r="C13" s="354"/>
      <c r="D13" s="354"/>
      <c r="E13" s="354"/>
      <c r="F13" s="354"/>
      <c r="G13" s="354"/>
      <c r="H13" s="354"/>
      <c r="I13" s="354"/>
      <c r="J13" s="355"/>
      <c r="K13" s="1"/>
      <c r="L13" s="342" t="s">
        <v>97</v>
      </c>
      <c r="M13" s="343"/>
      <c r="N13" s="343"/>
      <c r="O13" s="343"/>
      <c r="P13" s="343"/>
      <c r="Q13" s="343"/>
      <c r="R13" s="343"/>
      <c r="S13" s="343"/>
      <c r="T13" s="344"/>
      <c r="V13" s="331" t="s">
        <v>133</v>
      </c>
      <c r="W13" s="332"/>
      <c r="Y13" s="331" t="s">
        <v>134</v>
      </c>
      <c r="Z13" s="332"/>
    </row>
    <row r="14" spans="1:26" s="57" customFormat="1" ht="15.75" customHeight="1">
      <c r="A14" s="351" t="s">
        <v>4</v>
      </c>
      <c r="B14" s="337" t="s">
        <v>124</v>
      </c>
      <c r="C14" s="356" t="s">
        <v>73</v>
      </c>
      <c r="D14" s="327"/>
      <c r="E14" s="356" t="s">
        <v>96</v>
      </c>
      <c r="F14" s="357"/>
      <c r="G14" s="327"/>
      <c r="H14" s="328" t="s">
        <v>95</v>
      </c>
      <c r="I14" s="328"/>
      <c r="J14" s="329" t="s">
        <v>26</v>
      </c>
      <c r="K14" s="1"/>
      <c r="L14" s="345" t="s">
        <v>5</v>
      </c>
      <c r="M14" s="349" t="s">
        <v>1</v>
      </c>
      <c r="N14" s="350"/>
      <c r="O14" s="347" t="s">
        <v>72</v>
      </c>
      <c r="P14" s="339" t="s">
        <v>74</v>
      </c>
      <c r="Q14" s="335" t="s">
        <v>131</v>
      </c>
      <c r="R14" s="341"/>
      <c r="S14" s="335" t="s">
        <v>132</v>
      </c>
      <c r="T14" s="336"/>
      <c r="V14" s="333"/>
      <c r="W14" s="334"/>
      <c r="Y14" s="333"/>
      <c r="Z14" s="334"/>
    </row>
    <row r="15" spans="1:26" s="57" customFormat="1" ht="13.5" thickBot="1">
      <c r="A15" s="352"/>
      <c r="B15" s="338"/>
      <c r="C15" s="58" t="s">
        <v>98</v>
      </c>
      <c r="D15" s="56" t="s">
        <v>99</v>
      </c>
      <c r="E15" s="58" t="s">
        <v>5</v>
      </c>
      <c r="F15" s="56" t="s">
        <v>53</v>
      </c>
      <c r="G15" s="60" t="s">
        <v>101</v>
      </c>
      <c r="H15" s="59" t="s">
        <v>1</v>
      </c>
      <c r="I15" s="64" t="s">
        <v>0</v>
      </c>
      <c r="J15" s="330"/>
      <c r="K15" s="1"/>
      <c r="L15" s="346"/>
      <c r="M15" s="108" t="s">
        <v>129</v>
      </c>
      <c r="N15" s="109" t="s">
        <v>127</v>
      </c>
      <c r="O15" s="348"/>
      <c r="P15" s="340"/>
      <c r="Q15" s="70" t="s">
        <v>98</v>
      </c>
      <c r="R15" s="71" t="s">
        <v>99</v>
      </c>
      <c r="S15" s="70" t="s">
        <v>98</v>
      </c>
      <c r="T15" s="205" t="s">
        <v>99</v>
      </c>
      <c r="V15" s="92" t="s">
        <v>103</v>
      </c>
      <c r="W15" s="93" t="s">
        <v>104</v>
      </c>
      <c r="Y15" s="92" t="s">
        <v>103</v>
      </c>
      <c r="Z15" s="93" t="s">
        <v>104</v>
      </c>
    </row>
    <row r="16" spans="1:26" ht="13.5" thickTop="1">
      <c r="A16" s="65" t="s">
        <v>15</v>
      </c>
      <c r="B16" s="94" t="s">
        <v>16</v>
      </c>
      <c r="C16" s="14">
        <f>B4</f>
        <v>0</v>
      </c>
      <c r="D16" s="14">
        <f>C4</f>
        <v>0</v>
      </c>
      <c r="E16" s="61" t="s">
        <v>16</v>
      </c>
      <c r="F16" s="14" t="s">
        <v>16</v>
      </c>
      <c r="G16" s="62" t="s">
        <v>16</v>
      </c>
      <c r="H16" s="63" t="s">
        <v>16</v>
      </c>
      <c r="I16" s="63" t="s">
        <v>16</v>
      </c>
      <c r="J16" s="89" t="s">
        <v>16</v>
      </c>
      <c r="K16" s="1"/>
      <c r="L16" s="54" t="str">
        <f>E16</f>
        <v>N/A</v>
      </c>
      <c r="M16" s="106" t="s">
        <v>16</v>
      </c>
      <c r="N16" s="107" t="s">
        <v>16</v>
      </c>
      <c r="O16" s="104" t="s">
        <v>16</v>
      </c>
      <c r="P16" s="105" t="s">
        <v>16</v>
      </c>
      <c r="Q16" s="193">
        <f>B4</f>
        <v>0</v>
      </c>
      <c r="R16" s="194">
        <f>C4</f>
        <v>0</v>
      </c>
      <c r="S16" s="193">
        <f>Q16</f>
        <v>0</v>
      </c>
      <c r="T16" s="206">
        <f>R16</f>
        <v>0</v>
      </c>
      <c r="U16" s="13"/>
      <c r="V16" s="181">
        <f>$M$8+MIN($Q:$Q,$S:$S)+((MAX($Q:$Q,$S:$S)-MIN($Q:$Q,$S:$S))/2)</f>
        <v>0</v>
      </c>
      <c r="W16" s="182">
        <f>$M$9+MIN($R:$R,$T:$T)+((MAX($R:$R,$T:$T)-MIN($R:$R,$T:$T))/2)</f>
        <v>0</v>
      </c>
      <c r="Y16" s="181">
        <f>$M$8+MIN($Q:$Q,$S:$S)+((MAX($Q:$Q,$S:$S)-MIN($Q:$Q,$S:$S))/2)</f>
        <v>0</v>
      </c>
      <c r="Z16" s="182">
        <f>$M$9+MIN($R:$R,$T:$T)+((MAX($R:$R,$T:$T)-MIN($R:$R,$T:$T))/2)</f>
        <v>0</v>
      </c>
    </row>
    <row r="17" spans="1:26" ht="12.75">
      <c r="A17" s="90">
        <v>1</v>
      </c>
      <c r="B17" s="201">
        <f>IF(OR(AND(AND(ISNUMBER($C17),ISNUMBER($D17)),COUNTBLANK($E17:$I17)=5),(AND(COUNTBLANK($C17:$D17)=2,(AND(OR(AND(AND(ISBLANK($F17),ISBLANK($G17)),ISNUMBER($E17)),AND(AND(ISNUMBER($F17),ISNUMBER($G17)),ISBLANK($E17))),OR(AND(ISBLANK($H17),ISTEXT($I17)),AND(ISNUMBER($H17),ISBLANK($I17)))))))),"",IF(OR(COUNTBLANK($C17:$I17)&lt;&gt;7,COUNT($C18:$J$116)&lt;&gt;0),"Data ?",""))</f>
      </c>
      <c r="C17" s="195"/>
      <c r="D17" s="195"/>
      <c r="E17" s="196"/>
      <c r="F17" s="195"/>
      <c r="G17" s="195"/>
      <c r="H17" s="195"/>
      <c r="I17" s="195"/>
      <c r="J17" s="197"/>
      <c r="K17" s="1"/>
      <c r="L17" s="185">
        <f aca="true" t="shared" si="0" ref="L17:L80">IF(OR(B17&lt;&gt;"",L16=""),"",IF(AND(ISNUMBER(C17),ISNUMBER(D17)),SQRT((C17-Q16)^2+(D17-R16)^2),IF(AND(AND(ISNUMBER(E17),OR(H17&lt;&gt;"",I17&lt;&gt;"")),L16&lt;&gt;""),E17,IF(AND(AND(AND(F17&lt;&gt;"",G17&lt;&gt;""),OR(H17&lt;&gt;"",I17&lt;&gt;"")),L16&lt;&gt;""),(F17*COS(ATAN(G17/100))),""))))</f>
      </c>
      <c r="M17" s="186">
        <f>IF(OR(L17="",COUNTBLANK(H17:I17)=2),"",IF(ISNUMBER(H17),H17,IF(AND(LEFT(I17,1)="S",RIGHT(I17,1)="E"),180-MID(I17,2,LEN(I17)-2),IF(AND(LEFT(I17,1)="S",RIGHT(I17,1)="W"),180+MID(I17,2,LEN(I17)-2),IF(AND(LEFT(I17,1)="N",RIGHT(I17,1)="W"),360-MID(I17,2,LEN(I17)-2),VALUE(MID(I17,2,LEN(I17)-2)))))))</f>
      </c>
      <c r="N17" s="187">
        <f>IF(OR(L17="",ISNUMBER(M17)),"",IF(OR(AND($O17&gt;0,$P17&gt;0),AND($O17&gt;0,$P17&lt;0)),(90-ATAN($P17/$O17)*180/PI())-(360*(INT((90-ATAN($P17/$O17)*180/PI())/360))),(IF(OR(AND($O17&lt;0,$P17&gt;0),AND($O17&lt;0,$P17&lt;0)),(180-ATAN($P17/$O17)*180/PI()+90)-(360*(INT((180-ATAN($P17/$O17)*180/PI()+90)/360))),IF($O17=0,90-90*SIGN($P17),IF($P17=0,180-90*SIGN($O17),"Error"))))))</f>
      </c>
      <c r="O17" s="188">
        <f>IF(L17="","",IF(AND(ISNUMBER(C17),ISNUMBER(D17)),Q17-Q16,IF(OR(ISERROR($L17*COS((360-$M17+90)*PI()/180)),O16=""),"",($L17*COS(((360-$M17)+90)*PI()/180)))))</f>
      </c>
      <c r="P17" s="187">
        <f>IF(L17="","",IF(AND(ISNUMBER(C17),ISNUMBER(D17)),R17-R16,IF(OR(ISERROR($L17*SIN(((360-$B$6)-$M17+90)*PI()/180)),P16=""),"",($L17*SIN(((360-$M17)+90)*PI()/180)))))</f>
      </c>
      <c r="Q17" s="188">
        <f aca="true" t="shared" si="1" ref="Q17:Q48">IF(L17="","",IF(AND(ISNUMBER(C17),ISNUMBER(D17)),C17,IF(ISERROR(Q16+O17),"",(Q16+O17))))</f>
      </c>
      <c r="R17" s="187">
        <f aca="true" t="shared" si="2" ref="R17:R48">IF(L17="","",IF(AND(ISNUMBER(C17),ISNUMBER(D17)),D17,IF(ISERROR(R16+P17),"",(R16+P17))))</f>
      </c>
      <c r="S17" s="188">
        <f>IF($L17="","",IF(ISNUMBER($M17),IF(OR(ISERROR($S16+$L17*COS(((360-$B$6)-$M17+90)*PI()/180)),S16=""),"",($S16+$L17*COS(((360-$B$6)-$M17+90)*PI()/180))),IF(ISNUMBER($N17),IF(OR(ISERROR($S16+$L17*COS(((360-$B$6)-$N17+90)*PI()/180)),S16=""),"",($S16+$L17*COS(((360-$B$6)-$N17+90)*PI()/180))))))</f>
      </c>
      <c r="T17" s="207">
        <f>IF($L17="","",IF(ISNUMBER($M17),IF(OR(ISERROR($T16+$L17*SIN(((360-$B$6)-$M17+90)*PI()/180)),T16=""),"",($T16+$L17*SIN(((360-$B$6)-$M17+90)*PI()/180))),IF(ISNUMBER($N17),IF(OR(ISERROR($T16+$L17*SIN(((360-$B$6)-$N17+90)*PI()/180)),T16=""),"",($T16+$L17*SIN(((360-$B$6)-$N17+90)*PI()/180))))))</f>
      </c>
      <c r="U17" s="13"/>
      <c r="V17" s="181">
        <f>V16+(1-$M$11)*($M$7+(0.5*(MAX($Q:$Q,$S:$S)-MIN($Q:$Q,$S:$S))/2))*COS(90*PI()/180)</f>
        <v>0</v>
      </c>
      <c r="W17" s="182">
        <f>W16+(1-$M$11)*($M$7+0.5*(MAX($R:$R,$T:$T)-MIN($R:$R,$T:$T))/2)*SIN(90*PI()/180)</f>
        <v>0</v>
      </c>
      <c r="Y17" s="181">
        <f>Y16+(1-$M$11)*($M$7+(0.5*(MAX($Q:$Q,$S:$S)-MIN($Q:$Q,$S:$S))/2))*COS(((360-$B$6)+90)*PI()/180)</f>
        <v>0</v>
      </c>
      <c r="Z17" s="182">
        <f>Z16+(1-$M$11)*($M$7+0.5*(MAX($R:$R,$T:$T)-MIN($R:$R,$T:$T))/2)*SIN(((360-$B$6)+90)*PI()/180)</f>
        <v>0</v>
      </c>
    </row>
    <row r="18" spans="1:26" ht="12.75">
      <c r="A18" s="90">
        <v>2</v>
      </c>
      <c r="B18" s="201">
        <f>IF(OR(AND(AND(ISNUMBER($C18),ISNUMBER($D18)),COUNTBLANK($E18:$I18)=5),(AND(COUNTBLANK($C18:$D18)=2,(AND(OR(AND(AND(ISBLANK($F18),ISBLANK($G18)),ISNUMBER($E18)),AND(AND(ISNUMBER($F18),ISNUMBER($G18)),ISBLANK($E18))),OR(AND(ISBLANK($H18),ISTEXT($I18)),AND(ISNUMBER($H18),ISBLANK($I18)))))))),"",IF(OR(COUNTBLANK($C18:$I18)&lt;&gt;7,COUNT($C19:$J$116)&lt;&gt;0),"Data ?",""))</f>
      </c>
      <c r="C18" s="195"/>
      <c r="D18" s="195"/>
      <c r="E18" s="196"/>
      <c r="F18" s="195"/>
      <c r="G18" s="195"/>
      <c r="H18" s="195"/>
      <c r="I18" s="195"/>
      <c r="J18" s="197"/>
      <c r="K18" s="1"/>
      <c r="L18" s="185">
        <f t="shared" si="0"/>
      </c>
      <c r="M18" s="186">
        <f aca="true" t="shared" si="3" ref="M18:M81">IF(OR(L18="",COUNTBLANK(H18:I18)=2),"",IF(ISNUMBER(H18),H18,IF(AND(LEFT(I18,1)="S",RIGHT(I18,1)="E"),180-MID(I18,2,LEN(I18)-2),IF(AND(LEFT(I18,1)="S",RIGHT(I18,1)="W"),180+MID(I18,2,LEN(I18)-2),IF(AND(LEFT(I18,1)="N",RIGHT(I18,1)="W"),360-MID(I18,2,LEN(I18)-2),VALUE(MID(I18,2,LEN(I18)-2)))))))</f>
      </c>
      <c r="N18" s="187">
        <f aca="true" t="shared" si="4" ref="N18:N81">IF(OR(L18="",ISNUMBER(M18)),"",IF(OR(AND($O18&gt;0,$P18&gt;0),AND($O18&gt;0,$P18&lt;0)),(90-ATAN($P18/$O18)*180/PI())-(360*(INT((90-ATAN($P18/$O18)*180/PI())/360))),(IF(OR(AND($O18&lt;0,$P18&gt;0),AND($O18&lt;0,$P18&lt;0)),(180-ATAN($P18/$O18)*180/PI()+90)-(360*(INT((180-ATAN($P18/$O18)*180/PI()+90)/360))),IF($O18=0,90-90*SIGN($P18),IF($P18=0,180-90*SIGN($O18),"Error"))))))</f>
      </c>
      <c r="O18" s="188">
        <f aca="true" t="shared" si="5" ref="O18:O81">IF(L18="","",IF(AND(ISNUMBER(C18),ISNUMBER(D18)),Q18-Q17,IF(OR(ISERROR($L18*COS((360-$M18+90)*PI()/180)),O17=""),"",($L18*COS(((360-$M18)+90)*PI()/180)))))</f>
      </c>
      <c r="P18" s="187">
        <f aca="true" t="shared" si="6" ref="P18:P81">IF(L18="","",IF(AND(ISNUMBER(C18),ISNUMBER(D18)),R18-R17,IF(OR(ISERROR($L18*SIN(((360-$B$6)-$M18+90)*PI()/180)),P17=""),"",($L18*SIN(((360-$M18)+90)*PI()/180)))))</f>
      </c>
      <c r="Q18" s="188">
        <f t="shared" si="1"/>
      </c>
      <c r="R18" s="187">
        <f t="shared" si="2"/>
      </c>
      <c r="S18" s="188">
        <f aca="true" t="shared" si="7" ref="S18:S81">IF($L18="","",IF(ISNUMBER($M18),IF(OR(ISERROR($S17+$L18*COS(((360-$B$6)-$M18+90)*PI()/180)),S17=""),"",($S17+$L18*COS(((360-$B$6)-$M18+90)*PI()/180))),IF(ISNUMBER($N18),IF(OR(ISERROR($S17+$L18*COS(((360-$B$6)-$N18+90)*PI()/180)),S17=""),"",($S17+$L18*COS(((360-$B$6)-$N18+90)*PI()/180))))))</f>
      </c>
      <c r="T18" s="207">
        <f aca="true" t="shared" si="8" ref="T18:T81">IF($L18="","",IF(ISNUMBER($M18),IF(OR(ISERROR($T17+$L18*SIN(((360-$B$6)-$M18+90)*PI()/180)),T17=""),"",($T17+$L18*SIN(((360-$B$6)-$M18+90)*PI()/180))),IF(ISNUMBER($N18),IF(OR(ISERROR($T17+$L18*SIN(((360-$B$6)-$N18+90)*PI()/180)),T17=""),"",($T17+$L18*SIN(((360-$B$6)-$N18+90)*PI()/180))))))</f>
      </c>
      <c r="U18" s="13"/>
      <c r="V18" s="181">
        <f>V17+($M$10/2)*SIN(-90*PI()/180)</f>
        <v>-15</v>
      </c>
      <c r="W18" s="182">
        <f>W17+($M$10/2)*COS(-90*PI()/180)</f>
        <v>9.18861341181465E-16</v>
      </c>
      <c r="Y18" s="181">
        <f>Y17+($M$10/2)*SIN((180-(360-$B$6)+90)*PI()/180)</f>
        <v>-15</v>
      </c>
      <c r="Z18" s="182">
        <f>Z17+($M$10/2)*COS((180-(360-$B$6)+90)*PI()/180)</f>
        <v>9.18861341181465E-16</v>
      </c>
    </row>
    <row r="19" spans="1:26" ht="12.75">
      <c r="A19" s="90">
        <v>3</v>
      </c>
      <c r="B19" s="201">
        <f>IF(OR(AND(AND(ISNUMBER($C19),ISNUMBER($D19)),COUNTBLANK($E19:$I19)=5),(AND(COUNTBLANK($C19:$D19)=2,(AND(OR(AND(AND(ISBLANK($F19),ISBLANK($G19)),ISNUMBER($E19)),AND(AND(ISNUMBER($F19),ISNUMBER($G19)),ISBLANK($E19))),OR(AND(ISBLANK($H19),ISTEXT($I19)),AND(ISNUMBER($H19),ISBLANK($I19)))))))),"",IF(OR(COUNTBLANK($C19:$I19)&lt;&gt;7,COUNT($C20:$J$116)&lt;&gt;0),"Data ?",""))</f>
      </c>
      <c r="C19" s="195"/>
      <c r="D19" s="195"/>
      <c r="E19" s="196"/>
      <c r="F19" s="195"/>
      <c r="G19" s="195"/>
      <c r="H19" s="195"/>
      <c r="I19" s="195"/>
      <c r="J19" s="197"/>
      <c r="K19" s="1"/>
      <c r="L19" s="185">
        <f t="shared" si="0"/>
      </c>
      <c r="M19" s="186">
        <f t="shared" si="3"/>
      </c>
      <c r="N19" s="187">
        <f t="shared" si="4"/>
      </c>
      <c r="O19" s="188">
        <f t="shared" si="5"/>
      </c>
      <c r="P19" s="187">
        <f t="shared" si="6"/>
      </c>
      <c r="Q19" s="188">
        <f t="shared" si="1"/>
      </c>
      <c r="R19" s="187">
        <f t="shared" si="2"/>
      </c>
      <c r="S19" s="188">
        <f t="shared" si="7"/>
      </c>
      <c r="T19" s="207">
        <f t="shared" si="8"/>
      </c>
      <c r="U19" s="13"/>
      <c r="V19" s="181">
        <f>V17+$M$11*($M$7+(0.5*(MAX($Q:$Q,$S:$S)-MIN($Q:$Q,$S:$S))/2))*COS(90*PI()/180)</f>
        <v>0</v>
      </c>
      <c r="W19" s="182">
        <f>W17+$M$11*($M$7+(0.5*(MAX($R:$R,$T:$T)-MIN($R:$R,$T:$T))/2))*SIN(90*PI()/180)</f>
        <v>0</v>
      </c>
      <c r="Y19" s="181">
        <f>Y17+$M$11*($M$7+(0.5*(MAX($Q:$Q,$S:$S)-MIN($Q:$Q,$S:$S))/2))*COS(((360-$B$6)+90)*PI()/180)</f>
        <v>0</v>
      </c>
      <c r="Z19" s="182">
        <f>Z17+$M$11*($M$7+(0.5*(MAX($R:$R,$T:$T)-MIN($R:$R,$T:$T))/2))*SIN(((360-$B$6)+90)*PI()/180)</f>
        <v>0</v>
      </c>
    </row>
    <row r="20" spans="1:26" ht="12.75">
      <c r="A20" s="90">
        <v>4</v>
      </c>
      <c r="B20" s="201">
        <f>IF(OR(AND(AND(ISNUMBER($C20),ISNUMBER($D20)),COUNTBLANK($E20:$I20)=5),(AND(COUNTBLANK($C20:$D20)=2,(AND(OR(AND(AND(ISBLANK($F20),ISBLANK($G20)),ISNUMBER($E20)),AND(AND(ISNUMBER($F20),ISNUMBER($G20)),ISBLANK($E20))),OR(AND(ISBLANK($H20),ISTEXT($I20)),AND(ISNUMBER($H20),ISBLANK($I20)))))))),"",IF(OR(COUNTBLANK($C20:$I20)&lt;&gt;7,COUNT($C21:$J$116)&lt;&gt;0),"Data ?",""))</f>
      </c>
      <c r="C20" s="195"/>
      <c r="D20" s="195"/>
      <c r="E20" s="196"/>
      <c r="F20" s="195"/>
      <c r="G20" s="195"/>
      <c r="H20" s="195"/>
      <c r="I20" s="195"/>
      <c r="J20" s="197"/>
      <c r="K20" s="1"/>
      <c r="L20" s="185">
        <f t="shared" si="0"/>
      </c>
      <c r="M20" s="186">
        <f t="shared" si="3"/>
      </c>
      <c r="N20" s="187">
        <f t="shared" si="4"/>
      </c>
      <c r="O20" s="188">
        <f t="shared" si="5"/>
      </c>
      <c r="P20" s="187">
        <f t="shared" si="6"/>
      </c>
      <c r="Q20" s="188">
        <f t="shared" si="1"/>
      </c>
      <c r="R20" s="187">
        <f t="shared" si="2"/>
      </c>
      <c r="S20" s="188">
        <f t="shared" si="7"/>
      </c>
      <c r="T20" s="207">
        <f t="shared" si="8"/>
      </c>
      <c r="U20" s="13"/>
      <c r="V20" s="181">
        <f>V17-($M$10/2)*SIN(-90*PI()/180)</f>
        <v>15</v>
      </c>
      <c r="W20" s="182">
        <f>W17-($M$10/2)*COS(-90)*PI()/180</f>
        <v>0.11730539839156783</v>
      </c>
      <c r="Y20" s="181">
        <f>Y17-($M$10/2)*SIN((180-(360-$B$6)+90)*PI()/180)</f>
        <v>15</v>
      </c>
      <c r="Z20" s="182">
        <f>Z17-($M$10/2)*COS((180-(360-$B$6)+90)*PI()/180)</f>
        <v>-9.18861341181465E-16</v>
      </c>
    </row>
    <row r="21" spans="1:26" ht="13.5" thickBot="1">
      <c r="A21" s="90">
        <v>5</v>
      </c>
      <c r="B21" s="201">
        <f>IF(OR(AND(AND(ISNUMBER($C21),ISNUMBER($D21)),COUNTBLANK($E21:$I21)=5),(AND(COUNTBLANK($C21:$D21)=2,(AND(OR(AND(AND(ISBLANK($F21),ISBLANK($G21)),ISNUMBER($E21)),AND(AND(ISNUMBER($F21),ISNUMBER($G21)),ISBLANK($E21))),OR(AND(ISBLANK($H21),ISTEXT($I21)),AND(ISNUMBER($H21),ISBLANK($I21)))))))),"",IF(OR(COUNTBLANK($C21:$I21)&lt;&gt;7,COUNT($C22:$J$116)&lt;&gt;0),"Data ?",""))</f>
      </c>
      <c r="C21" s="195"/>
      <c r="D21" s="195"/>
      <c r="E21" s="196"/>
      <c r="F21" s="195"/>
      <c r="G21" s="195"/>
      <c r="H21" s="195"/>
      <c r="I21" s="195"/>
      <c r="J21" s="197"/>
      <c r="K21" s="1"/>
      <c r="L21" s="185">
        <f>IF(OR(B21&lt;&gt;"",L20=""),"",IF(AND(ISNUMBER(C21),ISNUMBER(D21)),SQRT((C21-Q20)^2+(D21-R20)^2),IF(AND(AND(ISNUMBER(E21),OR(H21&lt;&gt;"",I21&lt;&gt;"")),L20&lt;&gt;""),E21,IF(AND(AND(AND(F21&lt;&gt;"",G21&lt;&gt;""),OR(H21&lt;&gt;"",I21&lt;&gt;"")),L20&lt;&gt;""),(F21*COS(ATAN(G21/100))),""))))</f>
      </c>
      <c r="M21" s="186">
        <f t="shared" si="3"/>
      </c>
      <c r="N21" s="187">
        <f t="shared" si="4"/>
      </c>
      <c r="O21" s="188">
        <f t="shared" si="5"/>
      </c>
      <c r="P21" s="187">
        <f t="shared" si="6"/>
      </c>
      <c r="Q21" s="188">
        <f t="shared" si="1"/>
      </c>
      <c r="R21" s="187">
        <f t="shared" si="2"/>
      </c>
      <c r="S21" s="188">
        <f t="shared" si="7"/>
      </c>
      <c r="T21" s="207">
        <f t="shared" si="8"/>
      </c>
      <c r="U21" s="13"/>
      <c r="V21" s="183">
        <f>V17</f>
        <v>0</v>
      </c>
      <c r="W21" s="184">
        <f>W17</f>
        <v>0</v>
      </c>
      <c r="Y21" s="183">
        <f>Y17</f>
        <v>0</v>
      </c>
      <c r="Z21" s="184">
        <f>Z17</f>
        <v>0</v>
      </c>
    </row>
    <row r="22" spans="1:21" ht="13.5" thickTop="1">
      <c r="A22" s="90">
        <v>6</v>
      </c>
      <c r="B22" s="201">
        <f>IF(OR(AND(AND(ISNUMBER($C22),ISNUMBER($D22)),COUNTBLANK($E22:$I22)=5),(AND(COUNTBLANK($C22:$D22)=2,(AND(OR(AND(AND(ISBLANK($F22),ISBLANK($G22)),ISNUMBER($E22)),AND(AND(ISNUMBER($F22),ISNUMBER($G22)),ISBLANK($E22))),OR(AND(ISBLANK($H22),ISTEXT($I22)),AND(ISNUMBER($H22),ISBLANK($I22)))))))),"",IF(OR(COUNTBLANK($C22:$I22)&lt;&gt;7,COUNT($C23:$J$116)&lt;&gt;0),"Data ?",""))</f>
      </c>
      <c r="C22" s="195"/>
      <c r="D22" s="195"/>
      <c r="E22" s="196"/>
      <c r="F22" s="195"/>
      <c r="G22" s="195"/>
      <c r="H22" s="195"/>
      <c r="I22" s="195"/>
      <c r="J22" s="197"/>
      <c r="K22" s="1"/>
      <c r="L22" s="185">
        <f t="shared" si="0"/>
      </c>
      <c r="M22" s="186">
        <f t="shared" si="3"/>
      </c>
      <c r="N22" s="187">
        <f t="shared" si="4"/>
      </c>
      <c r="O22" s="188">
        <f t="shared" si="5"/>
      </c>
      <c r="P22" s="187">
        <f t="shared" si="6"/>
      </c>
      <c r="Q22" s="188">
        <f t="shared" si="1"/>
      </c>
      <c r="R22" s="187">
        <f t="shared" si="2"/>
      </c>
      <c r="S22" s="188">
        <f t="shared" si="7"/>
      </c>
      <c r="T22" s="207">
        <f t="shared" si="8"/>
      </c>
      <c r="U22" s="13"/>
    </row>
    <row r="23" spans="1:21" ht="12.75">
      <c r="A23" s="90">
        <v>7</v>
      </c>
      <c r="B23" s="201">
        <f>IF(OR(AND(AND(ISNUMBER($C23),ISNUMBER($D23)),COUNTBLANK($E23:$I23)=5),(AND(COUNTBLANK($C23:$D23)=2,(AND(OR(AND(AND(ISBLANK($F23),ISBLANK($G23)),ISNUMBER($E23)),AND(AND(ISNUMBER($F23),ISNUMBER($G23)),ISBLANK($E23))),OR(AND(ISBLANK($H23),ISTEXT($I23)),AND(ISNUMBER($H23),ISBLANK($I23)))))))),"",IF(OR(COUNTBLANK($C23:$I23)&lt;&gt;7,COUNT($C24:$J$116)&lt;&gt;0),"Data ?",""))</f>
      </c>
      <c r="C23" s="195"/>
      <c r="D23" s="195"/>
      <c r="E23" s="196"/>
      <c r="F23" s="195"/>
      <c r="G23" s="195"/>
      <c r="H23" s="195"/>
      <c r="I23" s="195"/>
      <c r="J23" s="197"/>
      <c r="K23" s="1"/>
      <c r="L23" s="185">
        <f t="shared" si="0"/>
      </c>
      <c r="M23" s="186">
        <f t="shared" si="3"/>
      </c>
      <c r="N23" s="187">
        <f t="shared" si="4"/>
      </c>
      <c r="O23" s="188">
        <f t="shared" si="5"/>
      </c>
      <c r="P23" s="187">
        <f t="shared" si="6"/>
      </c>
      <c r="Q23" s="188">
        <f t="shared" si="1"/>
      </c>
      <c r="R23" s="187">
        <f t="shared" si="2"/>
      </c>
      <c r="S23" s="188">
        <f t="shared" si="7"/>
      </c>
      <c r="T23" s="207">
        <f t="shared" si="8"/>
      </c>
      <c r="U23" s="13"/>
    </row>
    <row r="24" spans="1:24" ht="12.75">
      <c r="A24" s="90">
        <v>8</v>
      </c>
      <c r="B24" s="201">
        <f>IF(OR(AND(AND(ISNUMBER($C24),ISNUMBER($D24)),COUNTBLANK($E24:$I24)=5),(AND(COUNTBLANK($C24:$D24)=2,(AND(OR(AND(AND(ISBLANK($F24),ISBLANK($G24)),ISNUMBER($E24)),AND(AND(ISNUMBER($F24),ISNUMBER($G24)),ISBLANK($E24))),OR(AND(ISBLANK($H24),ISTEXT($I24)),AND(ISNUMBER($H24),ISBLANK($I24)))))))),"",IF(OR(COUNTBLANK($C24:$I24)&lt;&gt;7,COUNT($C25:$J$116)&lt;&gt;0),"Data ?",""))</f>
      </c>
      <c r="C24" s="195"/>
      <c r="D24" s="195"/>
      <c r="E24" s="196"/>
      <c r="F24" s="195"/>
      <c r="G24" s="195"/>
      <c r="H24" s="195"/>
      <c r="I24" s="195"/>
      <c r="J24" s="197"/>
      <c r="K24" s="1"/>
      <c r="L24" s="185">
        <f t="shared" si="0"/>
      </c>
      <c r="M24" s="186">
        <f t="shared" si="3"/>
      </c>
      <c r="N24" s="187">
        <f t="shared" si="4"/>
      </c>
      <c r="O24" s="188">
        <f t="shared" si="5"/>
      </c>
      <c r="P24" s="187">
        <f t="shared" si="6"/>
      </c>
      <c r="Q24" s="188">
        <f t="shared" si="1"/>
      </c>
      <c r="R24" s="187">
        <f t="shared" si="2"/>
      </c>
      <c r="S24" s="188">
        <f t="shared" si="7"/>
      </c>
      <c r="T24" s="207">
        <f t="shared" si="8"/>
      </c>
      <c r="U24" s="13"/>
      <c r="V24" s="1"/>
      <c r="X24" s="13"/>
    </row>
    <row r="25" spans="1:24" ht="12.75">
      <c r="A25" s="90">
        <v>9</v>
      </c>
      <c r="B25" s="201">
        <f>IF(OR(AND(AND(ISNUMBER($C25),ISNUMBER($D25)),COUNTBLANK($E25:$I25)=5),(AND(COUNTBLANK($C25:$D25)=2,(AND(OR(AND(AND(ISBLANK($F25),ISBLANK($G25)),ISNUMBER($E25)),AND(AND(ISNUMBER($F25),ISNUMBER($G25)),ISBLANK($E25))),OR(AND(ISBLANK($H25),ISTEXT($I25)),AND(ISNUMBER($H25),ISBLANK($I25)))))))),"",IF(OR(COUNTBLANK($C25:$I25)&lt;&gt;7,COUNT($C26:$J$116)&lt;&gt;0),"Data ?",""))</f>
      </c>
      <c r="C25" s="195"/>
      <c r="D25" s="195"/>
      <c r="E25" s="196"/>
      <c r="F25" s="195"/>
      <c r="G25" s="195"/>
      <c r="H25" s="195"/>
      <c r="I25" s="195"/>
      <c r="J25" s="197"/>
      <c r="K25" s="1"/>
      <c r="L25" s="185">
        <f t="shared" si="0"/>
      </c>
      <c r="M25" s="186">
        <f t="shared" si="3"/>
      </c>
      <c r="N25" s="187">
        <f t="shared" si="4"/>
      </c>
      <c r="O25" s="188">
        <f t="shared" si="5"/>
      </c>
      <c r="P25" s="187">
        <f t="shared" si="6"/>
      </c>
      <c r="Q25" s="188">
        <f t="shared" si="1"/>
      </c>
      <c r="R25" s="187">
        <f t="shared" si="2"/>
      </c>
      <c r="S25" s="188">
        <f t="shared" si="7"/>
      </c>
      <c r="T25" s="207">
        <f t="shared" si="8"/>
      </c>
      <c r="U25" s="13"/>
      <c r="V25" s="1"/>
      <c r="X25" s="13"/>
    </row>
    <row r="26" spans="1:24" ht="12.75">
      <c r="A26" s="90">
        <v>10</v>
      </c>
      <c r="B26" s="201">
        <f>IF(OR(AND(AND(ISNUMBER($C26),ISNUMBER($D26)),COUNTBLANK($E26:$I26)=5),(AND(COUNTBLANK($C26:$D26)=2,(AND(OR(AND(AND(ISBLANK($F26),ISBLANK($G26)),ISNUMBER($E26)),AND(AND(ISNUMBER($F26),ISNUMBER($G26)),ISBLANK($E26))),OR(AND(ISBLANK($H26),ISTEXT($I26)),AND(ISNUMBER($H26),ISBLANK($I26)))))))),"",IF(OR(COUNTBLANK($C26:$I26)&lt;&gt;7,COUNT($C27:$J$116)&lt;&gt;0),"Data ?",""))</f>
      </c>
      <c r="C26" s="195"/>
      <c r="D26" s="195"/>
      <c r="E26" s="196"/>
      <c r="F26" s="195"/>
      <c r="G26" s="195"/>
      <c r="H26" s="195"/>
      <c r="I26" s="195"/>
      <c r="J26" s="197"/>
      <c r="K26" s="1"/>
      <c r="L26" s="185">
        <f t="shared" si="0"/>
      </c>
      <c r="M26" s="186">
        <f t="shared" si="3"/>
      </c>
      <c r="N26" s="187">
        <f t="shared" si="4"/>
      </c>
      <c r="O26" s="188">
        <f t="shared" si="5"/>
      </c>
      <c r="P26" s="187">
        <f t="shared" si="6"/>
      </c>
      <c r="Q26" s="188">
        <f t="shared" si="1"/>
      </c>
      <c r="R26" s="187">
        <f t="shared" si="2"/>
      </c>
      <c r="S26" s="188">
        <f t="shared" si="7"/>
      </c>
      <c r="T26" s="207">
        <f t="shared" si="8"/>
      </c>
      <c r="U26" s="13"/>
      <c r="V26" s="1"/>
      <c r="X26" s="13"/>
    </row>
    <row r="27" spans="1:22" ht="12.75">
      <c r="A27" s="90">
        <v>11</v>
      </c>
      <c r="B27" s="201">
        <f>IF(OR(AND(AND(ISNUMBER($C27),ISNUMBER($D27)),COUNTBLANK($E27:$I27)=5),(AND(COUNTBLANK($C27:$D27)=2,(AND(OR(AND(AND(ISBLANK($F27),ISBLANK($G27)),ISNUMBER($E27)),AND(AND(ISNUMBER($F27),ISNUMBER($G27)),ISBLANK($E27))),OR(AND(ISBLANK($H27),ISTEXT($I27)),AND(ISNUMBER($H27),ISBLANK($I27)))))))),"",IF(OR(COUNTBLANK($C27:$I27)&lt;&gt;7,COUNT($C28:$J$116)&lt;&gt;0),"Data ?",""))</f>
      </c>
      <c r="C27" s="195"/>
      <c r="D27" s="195"/>
      <c r="E27" s="196"/>
      <c r="F27" s="195"/>
      <c r="G27" s="195"/>
      <c r="H27" s="195"/>
      <c r="I27" s="195"/>
      <c r="J27" s="197"/>
      <c r="K27" s="1"/>
      <c r="L27" s="185">
        <f t="shared" si="0"/>
      </c>
      <c r="M27" s="186">
        <f t="shared" si="3"/>
      </c>
      <c r="N27" s="187">
        <f t="shared" si="4"/>
      </c>
      <c r="O27" s="188">
        <f t="shared" si="5"/>
      </c>
      <c r="P27" s="187">
        <f t="shared" si="6"/>
      </c>
      <c r="Q27" s="188">
        <f t="shared" si="1"/>
      </c>
      <c r="R27" s="187">
        <f t="shared" si="2"/>
      </c>
      <c r="S27" s="188">
        <f t="shared" si="7"/>
      </c>
      <c r="T27" s="207">
        <f t="shared" si="8"/>
      </c>
      <c r="U27" s="13"/>
      <c r="V27" s="1"/>
    </row>
    <row r="28" spans="1:22" ht="12.75">
      <c r="A28" s="90">
        <v>12</v>
      </c>
      <c r="B28" s="201">
        <f>IF(OR(AND(AND(ISNUMBER($C28),ISNUMBER($D28)),COUNTBLANK($E28:$I28)=5),(AND(COUNTBLANK($C28:$D28)=2,(AND(OR(AND(AND(ISBLANK($F28),ISBLANK($G28)),ISNUMBER($E28)),AND(AND(ISNUMBER($F28),ISNUMBER($G28)),ISBLANK($E28))),OR(AND(ISBLANK($H28),ISTEXT($I28)),AND(ISNUMBER($H28),ISBLANK($I28)))))))),"",IF(OR(COUNTBLANK($C28:$I28)&lt;&gt;7,COUNT($C29:$J$116)&lt;&gt;0),"Data ?",""))</f>
      </c>
      <c r="C28" s="195"/>
      <c r="D28" s="195"/>
      <c r="E28" s="196"/>
      <c r="F28" s="195"/>
      <c r="G28" s="195"/>
      <c r="H28" s="195"/>
      <c r="I28" s="195"/>
      <c r="J28" s="197"/>
      <c r="K28" s="1"/>
      <c r="L28" s="185">
        <f t="shared" si="0"/>
      </c>
      <c r="M28" s="186">
        <f t="shared" si="3"/>
      </c>
      <c r="N28" s="187">
        <f t="shared" si="4"/>
      </c>
      <c r="O28" s="188">
        <f t="shared" si="5"/>
      </c>
      <c r="P28" s="187">
        <f t="shared" si="6"/>
      </c>
      <c r="Q28" s="188">
        <f t="shared" si="1"/>
      </c>
      <c r="R28" s="187">
        <f t="shared" si="2"/>
      </c>
      <c r="S28" s="188">
        <f t="shared" si="7"/>
      </c>
      <c r="T28" s="207">
        <f t="shared" si="8"/>
      </c>
      <c r="U28" s="13"/>
      <c r="V28" s="1"/>
    </row>
    <row r="29" spans="1:22" ht="12.75">
      <c r="A29" s="90">
        <v>13</v>
      </c>
      <c r="B29" s="201">
        <f>IF(OR(AND(AND(ISNUMBER($C29),ISNUMBER($D29)),COUNTBLANK($E29:$I29)=5),(AND(COUNTBLANK($C29:$D29)=2,(AND(OR(AND(AND(ISBLANK($F29),ISBLANK($G29)),ISNUMBER($E29)),AND(AND(ISNUMBER($F29),ISNUMBER($G29)),ISBLANK($E29))),OR(AND(ISBLANK($H29),ISTEXT($I29)),AND(ISNUMBER($H29),ISBLANK($I29)))))))),"",IF(OR(COUNTBLANK($C29:$I29)&lt;&gt;7,COUNT($C30:$J$116)&lt;&gt;0),"Data ?",""))</f>
      </c>
      <c r="C29" s="195"/>
      <c r="D29" s="195"/>
      <c r="E29" s="196"/>
      <c r="F29" s="195"/>
      <c r="G29" s="195"/>
      <c r="H29" s="195"/>
      <c r="I29" s="195"/>
      <c r="J29" s="197"/>
      <c r="K29" s="1"/>
      <c r="L29" s="185">
        <f t="shared" si="0"/>
      </c>
      <c r="M29" s="186">
        <f t="shared" si="3"/>
      </c>
      <c r="N29" s="187">
        <f t="shared" si="4"/>
      </c>
      <c r="O29" s="188">
        <f t="shared" si="5"/>
      </c>
      <c r="P29" s="187">
        <f t="shared" si="6"/>
      </c>
      <c r="Q29" s="188">
        <f t="shared" si="1"/>
      </c>
      <c r="R29" s="187">
        <f t="shared" si="2"/>
      </c>
      <c r="S29" s="188">
        <f t="shared" si="7"/>
      </c>
      <c r="T29" s="207">
        <f t="shared" si="8"/>
      </c>
      <c r="U29" s="13"/>
      <c r="V29" s="1"/>
    </row>
    <row r="30" spans="1:22" ht="12.75">
      <c r="A30" s="90">
        <v>14</v>
      </c>
      <c r="B30" s="201">
        <f>IF(OR(AND(AND(ISNUMBER($C30),ISNUMBER($D30)),COUNTBLANK($E30:$I30)=5),(AND(COUNTBLANK($C30:$D30)=2,(AND(OR(AND(AND(ISBLANK($F30),ISBLANK($G30)),ISNUMBER($E30)),AND(AND(ISNUMBER($F30),ISNUMBER($G30)),ISBLANK($E30))),OR(AND(ISBLANK($H30),ISTEXT($I30)),AND(ISNUMBER($H30),ISBLANK($I30)))))))),"",IF(OR(COUNTBLANK($C30:$I30)&lt;&gt;7,COUNT($C31:$J$116)&lt;&gt;0),"Data ?",""))</f>
      </c>
      <c r="C30" s="195"/>
      <c r="D30" s="195"/>
      <c r="E30" s="196"/>
      <c r="F30" s="195"/>
      <c r="G30" s="195"/>
      <c r="H30" s="195"/>
      <c r="I30" s="195"/>
      <c r="J30" s="197"/>
      <c r="K30" s="1"/>
      <c r="L30" s="185">
        <f t="shared" si="0"/>
      </c>
      <c r="M30" s="186">
        <f t="shared" si="3"/>
      </c>
      <c r="N30" s="187">
        <f t="shared" si="4"/>
      </c>
      <c r="O30" s="188">
        <f t="shared" si="5"/>
      </c>
      <c r="P30" s="187">
        <f t="shared" si="6"/>
      </c>
      <c r="Q30" s="188">
        <f t="shared" si="1"/>
      </c>
      <c r="R30" s="187">
        <f t="shared" si="2"/>
      </c>
      <c r="S30" s="188">
        <f t="shared" si="7"/>
      </c>
      <c r="T30" s="207">
        <f t="shared" si="8"/>
      </c>
      <c r="U30" s="13"/>
      <c r="V30" s="1"/>
    </row>
    <row r="31" spans="1:22" ht="12.75">
      <c r="A31" s="90">
        <v>15</v>
      </c>
      <c r="B31" s="201">
        <f>IF(OR(AND(AND(ISNUMBER($C31),ISNUMBER($D31)),COUNTBLANK($E31:$I31)=5),(AND(COUNTBLANK($C31:$D31)=2,(AND(OR(AND(AND(ISBLANK($F31),ISBLANK($G31)),ISNUMBER($E31)),AND(AND(ISNUMBER($F31),ISNUMBER($G31)),ISBLANK($E31))),OR(AND(ISBLANK($H31),ISTEXT($I31)),AND(ISNUMBER($H31),ISBLANK($I31)))))))),"",IF(OR(COUNTBLANK($C31:$I31)&lt;&gt;7,COUNT($C32:$J$116)&lt;&gt;0),"Data ?",""))</f>
      </c>
      <c r="C31" s="195"/>
      <c r="D31" s="195"/>
      <c r="E31" s="196"/>
      <c r="F31" s="195"/>
      <c r="G31" s="195"/>
      <c r="H31" s="195"/>
      <c r="I31" s="195"/>
      <c r="J31" s="197"/>
      <c r="K31" s="1"/>
      <c r="L31" s="185">
        <f t="shared" si="0"/>
      </c>
      <c r="M31" s="186">
        <f t="shared" si="3"/>
      </c>
      <c r="N31" s="187">
        <f t="shared" si="4"/>
      </c>
      <c r="O31" s="188">
        <f t="shared" si="5"/>
      </c>
      <c r="P31" s="187">
        <f t="shared" si="6"/>
      </c>
      <c r="Q31" s="188">
        <f t="shared" si="1"/>
      </c>
      <c r="R31" s="187">
        <f t="shared" si="2"/>
      </c>
      <c r="S31" s="188">
        <f t="shared" si="7"/>
      </c>
      <c r="T31" s="207">
        <f t="shared" si="8"/>
      </c>
      <c r="U31" s="13"/>
      <c r="V31" s="1"/>
    </row>
    <row r="32" spans="1:23" ht="12.75">
      <c r="A32" s="90">
        <v>16</v>
      </c>
      <c r="B32" s="201">
        <f>IF(OR(AND(AND(ISNUMBER($C32),ISNUMBER($D32)),COUNTBLANK($E32:$I32)=5),(AND(COUNTBLANK($C32:$D32)=2,(AND(OR(AND(AND(ISBLANK($F32),ISBLANK($G32)),ISNUMBER($E32)),AND(AND(ISNUMBER($F32),ISNUMBER($G32)),ISBLANK($E32))),OR(AND(ISBLANK($H32),ISTEXT($I32)),AND(ISNUMBER($H32),ISBLANK($I32)))))))),"",IF(OR(COUNTBLANK($C32:$I32)&lt;&gt;7,COUNT($C33:$J$116)&lt;&gt;0),"Data ?",""))</f>
      </c>
      <c r="C32" s="195"/>
      <c r="D32" s="195"/>
      <c r="E32" s="196"/>
      <c r="F32" s="195"/>
      <c r="G32" s="195"/>
      <c r="H32" s="195"/>
      <c r="I32" s="195"/>
      <c r="J32" s="197"/>
      <c r="K32" s="1"/>
      <c r="L32" s="185">
        <f t="shared" si="0"/>
      </c>
      <c r="M32" s="186">
        <f t="shared" si="3"/>
      </c>
      <c r="N32" s="187">
        <f t="shared" si="4"/>
      </c>
      <c r="O32" s="188">
        <f t="shared" si="5"/>
      </c>
      <c r="P32" s="187">
        <f t="shared" si="6"/>
      </c>
      <c r="Q32" s="188">
        <f t="shared" si="1"/>
      </c>
      <c r="R32" s="187">
        <f t="shared" si="2"/>
      </c>
      <c r="S32" s="188">
        <f t="shared" si="7"/>
      </c>
      <c r="T32" s="207">
        <f t="shared" si="8"/>
      </c>
      <c r="U32" s="13"/>
      <c r="V32" s="72"/>
      <c r="W32" s="78"/>
    </row>
    <row r="33" spans="1:23" ht="12.75">
      <c r="A33" s="90">
        <v>17</v>
      </c>
      <c r="B33" s="201">
        <f>IF(OR(AND(AND(ISNUMBER($C33),ISNUMBER($D33)),COUNTBLANK($E33:$I33)=5),(AND(COUNTBLANK($C33:$D33)=2,(AND(OR(AND(AND(ISBLANK($F33),ISBLANK($G33)),ISNUMBER($E33)),AND(AND(ISNUMBER($F33),ISNUMBER($G33)),ISBLANK($E33))),OR(AND(ISBLANK($H33),ISTEXT($I33)),AND(ISNUMBER($H33),ISBLANK($I33)))))))),"",IF(OR(COUNTBLANK($C33:$I33)&lt;&gt;7,COUNT($C34:$J$116)&lt;&gt;0),"Data ?",""))</f>
      </c>
      <c r="C33" s="195"/>
      <c r="D33" s="195"/>
      <c r="E33" s="196"/>
      <c r="F33" s="195"/>
      <c r="G33" s="195"/>
      <c r="H33" s="195"/>
      <c r="I33" s="195"/>
      <c r="J33" s="197"/>
      <c r="K33" s="1"/>
      <c r="L33" s="185">
        <f t="shared" si="0"/>
      </c>
      <c r="M33" s="186">
        <f t="shared" si="3"/>
      </c>
      <c r="N33" s="187">
        <f>IF(OR(L33="",ISNUMBER(M33)),"",IF(OR(AND($O33&gt;0,$P33&gt;0),AND($O33&gt;0,$P33&lt;0)),(90-ATAN($P33/$O33)*180/PI())-(360*(INT((90-ATAN($P33/$O33)*180/PI())/360))),(IF(OR(AND($O33&lt;0,$P33&gt;0),AND($O33&lt;0,$P33&lt;0)),(180-ATAN($P33/$O33)*180/PI()+90)-(360*(INT((180-ATAN($P33/$O33)*180/PI()+90)/360))),IF($O33=0,90-90*SIGN($P33),IF($P33=0,180-90*SIGN($O33),"Error"))))))</f>
      </c>
      <c r="O33" s="188">
        <f t="shared" si="5"/>
      </c>
      <c r="P33" s="187">
        <f t="shared" si="6"/>
      </c>
      <c r="Q33" s="188">
        <f t="shared" si="1"/>
      </c>
      <c r="R33" s="187">
        <f t="shared" si="2"/>
      </c>
      <c r="S33" s="188">
        <f t="shared" si="7"/>
      </c>
      <c r="T33" s="207">
        <f t="shared" si="8"/>
      </c>
      <c r="U33" s="13"/>
      <c r="V33" s="33"/>
      <c r="W33" s="78"/>
    </row>
    <row r="34" spans="1:23" ht="12.75">
      <c r="A34" s="90">
        <v>18</v>
      </c>
      <c r="B34" s="201">
        <f>IF(OR(AND(AND(ISNUMBER($C34),ISNUMBER($D34)),COUNTBLANK($E34:$I34)=5),(AND(COUNTBLANK($C34:$D34)=2,(AND(OR(AND(AND(ISBLANK($F34),ISBLANK($G34)),ISNUMBER($E34)),AND(AND(ISNUMBER($F34),ISNUMBER($G34)),ISBLANK($E34))),OR(AND(ISBLANK($H34),ISTEXT($I34)),AND(ISNUMBER($H34),ISBLANK($I34)))))))),"",IF(OR(COUNTBLANK($C34:$I34)&lt;&gt;7,COUNT($C35:$J$116)&lt;&gt;0),"Data ?",""))</f>
      </c>
      <c r="C34" s="195"/>
      <c r="D34" s="195"/>
      <c r="E34" s="196"/>
      <c r="F34" s="195"/>
      <c r="G34" s="195"/>
      <c r="H34" s="195"/>
      <c r="I34" s="195"/>
      <c r="J34" s="197"/>
      <c r="K34" s="1"/>
      <c r="L34" s="185">
        <f t="shared" si="0"/>
      </c>
      <c r="M34" s="186">
        <f t="shared" si="3"/>
      </c>
      <c r="N34" s="187">
        <f t="shared" si="4"/>
      </c>
      <c r="O34" s="188">
        <f t="shared" si="5"/>
      </c>
      <c r="P34" s="187">
        <f t="shared" si="6"/>
      </c>
      <c r="Q34" s="188">
        <f t="shared" si="1"/>
      </c>
      <c r="R34" s="187">
        <f t="shared" si="2"/>
      </c>
      <c r="S34" s="188">
        <f t="shared" si="7"/>
      </c>
      <c r="T34" s="207">
        <f t="shared" si="8"/>
      </c>
      <c r="U34" s="13"/>
      <c r="V34" s="12"/>
      <c r="W34" s="12"/>
    </row>
    <row r="35" spans="1:23" ht="12.75">
      <c r="A35" s="90">
        <v>19</v>
      </c>
      <c r="B35" s="201">
        <f>IF(OR(AND(AND(ISNUMBER($C35),ISNUMBER($D35)),COUNTBLANK($E35:$I35)=5),(AND(COUNTBLANK($C35:$D35)=2,(AND(OR(AND(AND(ISBLANK($F35),ISBLANK($G35)),ISNUMBER($E35)),AND(AND(ISNUMBER($F35),ISNUMBER($G35)),ISBLANK($E35))),OR(AND(ISBLANK($H35),ISTEXT($I35)),AND(ISNUMBER($H35),ISBLANK($I35)))))))),"",IF(OR(COUNTBLANK($C35:$I35)&lt;&gt;7,COUNT($C36:$J$116)&lt;&gt;0),"Data ?",""))</f>
      </c>
      <c r="C35" s="195"/>
      <c r="D35" s="195"/>
      <c r="E35" s="196"/>
      <c r="F35" s="195"/>
      <c r="G35" s="195"/>
      <c r="H35" s="195"/>
      <c r="I35" s="195"/>
      <c r="J35" s="197"/>
      <c r="K35" s="1"/>
      <c r="L35" s="185">
        <f t="shared" si="0"/>
      </c>
      <c r="M35" s="186">
        <f t="shared" si="3"/>
      </c>
      <c r="N35" s="187">
        <f t="shared" si="4"/>
      </c>
      <c r="O35" s="188">
        <f t="shared" si="5"/>
      </c>
      <c r="P35" s="187">
        <f t="shared" si="6"/>
      </c>
      <c r="Q35" s="188">
        <f t="shared" si="1"/>
      </c>
      <c r="R35" s="187">
        <f t="shared" si="2"/>
      </c>
      <c r="S35" s="188">
        <f t="shared" si="7"/>
      </c>
      <c r="T35" s="207">
        <f t="shared" si="8"/>
      </c>
      <c r="U35" s="13"/>
      <c r="V35" s="73"/>
      <c r="W35" s="73"/>
    </row>
    <row r="36" spans="1:23" ht="12.75">
      <c r="A36" s="90">
        <v>20</v>
      </c>
      <c r="B36" s="201">
        <f>IF(OR(AND(AND(ISNUMBER($C36),ISNUMBER($D36)),COUNTBLANK($E36:$I36)=5),(AND(COUNTBLANK($C36:$D36)=2,(AND(OR(AND(AND(ISBLANK($F36),ISBLANK($G36)),ISNUMBER($E36)),AND(AND(ISNUMBER($F36),ISNUMBER($G36)),ISBLANK($E36))),OR(AND(ISBLANK($H36),ISTEXT($I36)),AND(ISNUMBER($H36),ISBLANK($I36)))))))),"",IF(OR(COUNTBLANK($C36:$I36)&lt;&gt;7,COUNT($C37:$J$116)&lt;&gt;0),"Data ?",""))</f>
      </c>
      <c r="C36" s="195"/>
      <c r="D36" s="195"/>
      <c r="E36" s="196"/>
      <c r="F36" s="195"/>
      <c r="G36" s="195"/>
      <c r="H36" s="195"/>
      <c r="I36" s="195"/>
      <c r="J36" s="197"/>
      <c r="K36" s="1"/>
      <c r="L36" s="185">
        <f t="shared" si="0"/>
      </c>
      <c r="M36" s="186">
        <f t="shared" si="3"/>
      </c>
      <c r="N36" s="187">
        <f t="shared" si="4"/>
      </c>
      <c r="O36" s="188">
        <f t="shared" si="5"/>
      </c>
      <c r="P36" s="187">
        <f t="shared" si="6"/>
      </c>
      <c r="Q36" s="188">
        <f t="shared" si="1"/>
      </c>
      <c r="R36" s="187">
        <f t="shared" si="2"/>
      </c>
      <c r="S36" s="188">
        <f t="shared" si="7"/>
      </c>
      <c r="T36" s="207">
        <f t="shared" si="8"/>
      </c>
      <c r="U36" s="13"/>
      <c r="V36" s="40"/>
      <c r="W36" s="74"/>
    </row>
    <row r="37" spans="1:23" ht="12.75">
      <c r="A37" s="90">
        <v>21</v>
      </c>
      <c r="B37" s="201">
        <f>IF(OR(AND(AND(ISNUMBER($C37),ISNUMBER($D37)),COUNTBLANK($E37:$I37)=5),(AND(COUNTBLANK($C37:$D37)=2,(AND(OR(AND(AND(ISBLANK($F37),ISBLANK($G37)),ISNUMBER($E37)),AND(AND(ISNUMBER($F37),ISNUMBER($G37)),ISBLANK($E37))),OR(AND(ISBLANK($H37),ISTEXT($I37)),AND(ISNUMBER($H37),ISBLANK($I37)))))))),"",IF(OR(COUNTBLANK($C37:$I37)&lt;&gt;7,COUNT($C38:$J$116)&lt;&gt;0),"Data ?",""))</f>
      </c>
      <c r="C37" s="195"/>
      <c r="D37" s="195"/>
      <c r="E37" s="196"/>
      <c r="F37" s="195"/>
      <c r="G37" s="195"/>
      <c r="H37" s="195"/>
      <c r="I37" s="195"/>
      <c r="J37" s="197"/>
      <c r="K37" s="1"/>
      <c r="L37" s="185">
        <f t="shared" si="0"/>
      </c>
      <c r="M37" s="186">
        <f t="shared" si="3"/>
      </c>
      <c r="N37" s="187">
        <f t="shared" si="4"/>
      </c>
      <c r="O37" s="188">
        <f t="shared" si="5"/>
      </c>
      <c r="P37" s="187">
        <f t="shared" si="6"/>
      </c>
      <c r="Q37" s="188">
        <f t="shared" si="1"/>
      </c>
      <c r="R37" s="187">
        <f t="shared" si="2"/>
      </c>
      <c r="S37" s="188">
        <f t="shared" si="7"/>
      </c>
      <c r="T37" s="207">
        <f t="shared" si="8"/>
      </c>
      <c r="U37" s="13"/>
      <c r="V37" s="33"/>
      <c r="W37" s="78"/>
    </row>
    <row r="38" spans="1:23" ht="12.75">
      <c r="A38" s="90">
        <v>22</v>
      </c>
      <c r="B38" s="201">
        <f>IF(OR(AND(AND(ISNUMBER($C38),ISNUMBER($D38)),COUNTBLANK($E38:$I38)=5),(AND(COUNTBLANK($C38:$D38)=2,(AND(OR(AND(AND(ISBLANK($F38),ISBLANK($G38)),ISNUMBER($E38)),AND(AND(ISNUMBER($F38),ISNUMBER($G38)),ISBLANK($E38))),OR(AND(ISBLANK($H38),ISTEXT($I38)),AND(ISNUMBER($H38),ISBLANK($I38)))))))),"",IF(OR(COUNTBLANK($C38:$I38)&lt;&gt;7,COUNT($C39:$J$116)&lt;&gt;0),"Data ?",""))</f>
      </c>
      <c r="C38" s="195"/>
      <c r="D38" s="195"/>
      <c r="E38" s="196"/>
      <c r="F38" s="195"/>
      <c r="G38" s="195"/>
      <c r="H38" s="195"/>
      <c r="I38" s="195"/>
      <c r="J38" s="197"/>
      <c r="K38" s="1"/>
      <c r="L38" s="185">
        <f t="shared" si="0"/>
      </c>
      <c r="M38" s="186">
        <f t="shared" si="3"/>
      </c>
      <c r="N38" s="187">
        <f t="shared" si="4"/>
      </c>
      <c r="O38" s="188">
        <f t="shared" si="5"/>
      </c>
      <c r="P38" s="187">
        <f t="shared" si="6"/>
      </c>
      <c r="Q38" s="188">
        <f t="shared" si="1"/>
      </c>
      <c r="R38" s="187">
        <f t="shared" si="2"/>
      </c>
      <c r="S38" s="188">
        <f t="shared" si="7"/>
      </c>
      <c r="T38" s="207">
        <f t="shared" si="8"/>
      </c>
      <c r="U38" s="13"/>
      <c r="V38" s="12"/>
      <c r="W38" s="12"/>
    </row>
    <row r="39" spans="1:23" ht="12.75">
      <c r="A39" s="90">
        <v>23</v>
      </c>
      <c r="B39" s="201">
        <f>IF(OR(AND(AND(ISNUMBER($C39),ISNUMBER($D39)),COUNTBLANK($E39:$I39)=5),(AND(COUNTBLANK($C39:$D39)=2,(AND(OR(AND(AND(ISBLANK($F39),ISBLANK($G39)),ISNUMBER($E39)),AND(AND(ISNUMBER($F39),ISNUMBER($G39)),ISBLANK($E39))),OR(AND(ISBLANK($H39),ISTEXT($I39)),AND(ISNUMBER($H39),ISBLANK($I39)))))))),"",IF(OR(COUNTBLANK($C39:$I39)&lt;&gt;7,COUNT($C40:$J$116)&lt;&gt;0),"Data ?",""))</f>
      </c>
      <c r="C39" s="195"/>
      <c r="D39" s="195"/>
      <c r="E39" s="196"/>
      <c r="F39" s="195"/>
      <c r="G39" s="195"/>
      <c r="H39" s="195"/>
      <c r="I39" s="195"/>
      <c r="J39" s="197"/>
      <c r="K39" s="1"/>
      <c r="L39" s="185">
        <f t="shared" si="0"/>
      </c>
      <c r="M39" s="186">
        <f t="shared" si="3"/>
      </c>
      <c r="N39" s="187">
        <f t="shared" si="4"/>
      </c>
      <c r="O39" s="188">
        <f t="shared" si="5"/>
      </c>
      <c r="P39" s="187">
        <f t="shared" si="6"/>
      </c>
      <c r="Q39" s="188">
        <f t="shared" si="1"/>
      </c>
      <c r="R39" s="187">
        <f t="shared" si="2"/>
      </c>
      <c r="S39" s="188">
        <f t="shared" si="7"/>
      </c>
      <c r="T39" s="207">
        <f t="shared" si="8"/>
      </c>
      <c r="U39" s="13"/>
      <c r="V39" s="73"/>
      <c r="W39" s="73"/>
    </row>
    <row r="40" spans="1:23" ht="12.75">
      <c r="A40" s="90">
        <v>24</v>
      </c>
      <c r="B40" s="201">
        <f>IF(OR(AND(AND(ISNUMBER($C40),ISNUMBER($D40)),COUNTBLANK($E40:$I40)=5),(AND(COUNTBLANK($C40:$D40)=2,(AND(OR(AND(AND(ISBLANK($F40),ISBLANK($G40)),ISNUMBER($E40)),AND(AND(ISNUMBER($F40),ISNUMBER($G40)),ISBLANK($E40))),OR(AND(ISBLANK($H40),ISTEXT($I40)),AND(ISNUMBER($H40),ISBLANK($I40)))))))),"",IF(OR(COUNTBLANK($C40:$I40)&lt;&gt;7,COUNT($C41:$J$116)&lt;&gt;0),"Data ?",""))</f>
      </c>
      <c r="C40" s="195"/>
      <c r="D40" s="195"/>
      <c r="E40" s="196"/>
      <c r="F40" s="195"/>
      <c r="G40" s="195"/>
      <c r="H40" s="195"/>
      <c r="I40" s="195"/>
      <c r="J40" s="197"/>
      <c r="K40" s="1"/>
      <c r="L40" s="185">
        <f t="shared" si="0"/>
      </c>
      <c r="M40" s="186">
        <f t="shared" si="3"/>
      </c>
      <c r="N40" s="187">
        <f t="shared" si="4"/>
      </c>
      <c r="O40" s="188">
        <f t="shared" si="5"/>
      </c>
      <c r="P40" s="187">
        <f t="shared" si="6"/>
      </c>
      <c r="Q40" s="188">
        <f t="shared" si="1"/>
      </c>
      <c r="R40" s="187">
        <f t="shared" si="2"/>
      </c>
      <c r="S40" s="188">
        <f t="shared" si="7"/>
      </c>
      <c r="T40" s="207">
        <f t="shared" si="8"/>
      </c>
      <c r="U40" s="13"/>
      <c r="V40" s="40"/>
      <c r="W40" s="74"/>
    </row>
    <row r="41" spans="1:23" ht="12.75">
      <c r="A41" s="90">
        <v>25</v>
      </c>
      <c r="B41" s="201">
        <f>IF(OR(AND(AND(ISNUMBER($C41),ISNUMBER($D41)),COUNTBLANK($E41:$I41)=5),(AND(COUNTBLANK($C41:$D41)=2,(AND(OR(AND(AND(ISBLANK($F41),ISBLANK($G41)),ISNUMBER($E41)),AND(AND(ISNUMBER($F41),ISNUMBER($G41)),ISBLANK($E41))),OR(AND(ISBLANK($H41),ISTEXT($I41)),AND(ISNUMBER($H41),ISBLANK($I41)))))))),"",IF(OR(COUNTBLANK($C41:$I41)&lt;&gt;7,COUNT($C42:$J$116)&lt;&gt;0),"Data ?",""))</f>
      </c>
      <c r="C41" s="195"/>
      <c r="D41" s="195"/>
      <c r="E41" s="196"/>
      <c r="F41" s="195"/>
      <c r="G41" s="195"/>
      <c r="H41" s="195"/>
      <c r="I41" s="195"/>
      <c r="J41" s="197"/>
      <c r="K41" s="1"/>
      <c r="L41" s="185">
        <f t="shared" si="0"/>
      </c>
      <c r="M41" s="186">
        <f t="shared" si="3"/>
      </c>
      <c r="N41" s="187">
        <f t="shared" si="4"/>
      </c>
      <c r="O41" s="188">
        <f t="shared" si="5"/>
      </c>
      <c r="P41" s="187">
        <f t="shared" si="6"/>
      </c>
      <c r="Q41" s="188">
        <f t="shared" si="1"/>
      </c>
      <c r="R41" s="187">
        <f t="shared" si="2"/>
      </c>
      <c r="S41" s="188">
        <f t="shared" si="7"/>
      </c>
      <c r="T41" s="207">
        <f t="shared" si="8"/>
      </c>
      <c r="U41" s="13"/>
      <c r="V41" s="33"/>
      <c r="W41" s="78"/>
    </row>
    <row r="42" spans="1:29" ht="12.75">
      <c r="A42" s="90">
        <v>26</v>
      </c>
      <c r="B42" s="201">
        <f>IF(OR(AND(AND(ISNUMBER($C42),ISNUMBER($D42)),COUNTBLANK($E42:$I42)=5),(AND(COUNTBLANK($C42:$D42)=2,(AND(OR(AND(AND(ISBLANK($F42),ISBLANK($G42)),ISNUMBER($E42)),AND(AND(ISNUMBER($F42),ISNUMBER($G42)),ISBLANK($E42))),OR(AND(ISBLANK($H42),ISTEXT($I42)),AND(ISNUMBER($H42),ISBLANK($I42)))))))),"",IF(OR(COUNTBLANK($C42:$I42)&lt;&gt;7,COUNT($C43:$J$116)&lt;&gt;0),"Data ?",""))</f>
      </c>
      <c r="C42" s="195"/>
      <c r="D42" s="195"/>
      <c r="E42" s="196"/>
      <c r="F42" s="195"/>
      <c r="G42" s="195"/>
      <c r="H42" s="195"/>
      <c r="I42" s="195"/>
      <c r="J42" s="197"/>
      <c r="K42" s="1"/>
      <c r="L42" s="185">
        <f>IF(OR(B42&lt;&gt;"",L41=""),"",IF(AND(ISNUMBER(C42),ISNUMBER(D42)),SQRT((C42-Q41)^2+(D42-R41)^2),IF(AND(AND(ISNUMBER(E42),OR(H42&lt;&gt;"",I42&lt;&gt;"")),L41&lt;&gt;""),E42,IF(AND(AND(AND(F42&lt;&gt;"",G42&lt;&gt;""),OR(H42&lt;&gt;"",I42&lt;&gt;"")),L41&lt;&gt;""),(F42*COS(ATAN(G42/100))),""))))</f>
      </c>
      <c r="M42" s="186">
        <f t="shared" si="3"/>
      </c>
      <c r="N42" s="187">
        <f t="shared" si="4"/>
      </c>
      <c r="O42" s="188">
        <f>IF(L42="","",IF(AND(ISNUMBER(C42),ISNUMBER(D42)),Q42-Q41,IF(OR(ISERROR($L42*COS((360-$M42+90)*PI()/180)),O41=""),"",($L42*COS(((360-$M42)+90)*PI()/180)))))</f>
      </c>
      <c r="P42" s="187">
        <f>IF(L42="","",IF(AND(ISNUMBER(C42),ISNUMBER(D42)),R42-R41,IF(OR(ISERROR($L42*SIN(((360-$B$6)-$M42+90)*PI()/180)),P41=""),"",($L42*SIN(((360-$M42)+90)*PI()/180)))))</f>
      </c>
      <c r="Q42" s="188">
        <f>IF(L42="","",IF(AND(ISNUMBER(C42),ISNUMBER(D42)),C42,IF(ISERROR(Q41+O42),"",(Q41+O42))))</f>
      </c>
      <c r="R42" s="187">
        <f>IF(L42="","",IF(AND(ISNUMBER(C42),ISNUMBER(D42)),D42,IF(ISERROR(R41+P42),"",(R41+P42))))</f>
      </c>
      <c r="S42" s="188">
        <f t="shared" si="7"/>
      </c>
      <c r="T42" s="207">
        <f t="shared" si="8"/>
      </c>
      <c r="V42" s="12"/>
      <c r="W42" s="12"/>
      <c r="X42" s="23"/>
      <c r="Y42" s="23"/>
      <c r="Z42" s="23"/>
      <c r="AA42" s="23"/>
      <c r="AB42" s="23"/>
      <c r="AC42" s="23"/>
    </row>
    <row r="43" spans="1:23" ht="12.75">
      <c r="A43" s="90">
        <v>27</v>
      </c>
      <c r="B43" s="201">
        <f>IF(OR(AND(AND(ISNUMBER($C43),ISNUMBER($D43)),COUNTBLANK($E43:$I43)=5),(AND(COUNTBLANK($C43:$D43)=2,(AND(OR(AND(AND(ISBLANK($F43),ISBLANK($G43)),ISNUMBER($E43)),AND(AND(ISNUMBER($F43),ISNUMBER($G43)),ISBLANK($E43))),OR(AND(ISBLANK($H43),ISTEXT($I43)),AND(ISNUMBER($H43),ISBLANK($I43)))))))),"",IF(OR(COUNTBLANK($C43:$I43)&lt;&gt;7,COUNT($C44:$J$116)&lt;&gt;0),"Data ?",""))</f>
      </c>
      <c r="C43" s="195"/>
      <c r="D43" s="195"/>
      <c r="E43" s="196"/>
      <c r="F43" s="195"/>
      <c r="G43" s="195"/>
      <c r="H43" s="195"/>
      <c r="I43" s="195"/>
      <c r="J43" s="197"/>
      <c r="K43" s="1"/>
      <c r="L43" s="185">
        <f t="shared" si="0"/>
      </c>
      <c r="M43" s="186">
        <f t="shared" si="3"/>
      </c>
      <c r="N43" s="187">
        <f t="shared" si="4"/>
      </c>
      <c r="O43" s="188">
        <f t="shared" si="5"/>
      </c>
      <c r="P43" s="187">
        <f t="shared" si="6"/>
      </c>
      <c r="Q43" s="188">
        <f t="shared" si="1"/>
      </c>
      <c r="R43" s="187">
        <f t="shared" si="2"/>
      </c>
      <c r="S43" s="188">
        <f t="shared" si="7"/>
      </c>
      <c r="T43" s="207">
        <f t="shared" si="8"/>
      </c>
      <c r="V43" s="73"/>
      <c r="W43" s="73"/>
    </row>
    <row r="44" spans="1:23" ht="12.75">
      <c r="A44" s="90">
        <v>28</v>
      </c>
      <c r="B44" s="201">
        <f>IF(OR(AND(AND(ISNUMBER($C44),ISNUMBER($D44)),COUNTBLANK($E44:$I44)=5),(AND(COUNTBLANK($C44:$D44)=2,(AND(OR(AND(AND(ISBLANK($F44),ISBLANK($G44)),ISNUMBER($E44)),AND(AND(ISNUMBER($F44),ISNUMBER($G44)),ISBLANK($E44))),OR(AND(ISBLANK($H44),ISTEXT($I44)),AND(ISNUMBER($H44),ISBLANK($I44)))))))),"",IF(OR(COUNTBLANK($C44:$I44)&lt;&gt;7,COUNT($C45:$J$116)&lt;&gt;0),"Data ?",""))</f>
      </c>
      <c r="C44" s="195"/>
      <c r="D44" s="195"/>
      <c r="E44" s="196"/>
      <c r="F44" s="195"/>
      <c r="G44" s="195"/>
      <c r="H44" s="195"/>
      <c r="I44" s="195"/>
      <c r="J44" s="197"/>
      <c r="K44" s="1"/>
      <c r="L44" s="185">
        <f t="shared" si="0"/>
      </c>
      <c r="M44" s="186">
        <f t="shared" si="3"/>
      </c>
      <c r="N44" s="187">
        <f t="shared" si="4"/>
      </c>
      <c r="O44" s="188">
        <f t="shared" si="5"/>
      </c>
      <c r="P44" s="187">
        <f t="shared" si="6"/>
      </c>
      <c r="Q44" s="188">
        <f t="shared" si="1"/>
      </c>
      <c r="R44" s="187">
        <f t="shared" si="2"/>
      </c>
      <c r="S44" s="188">
        <f t="shared" si="7"/>
      </c>
      <c r="T44" s="207">
        <f t="shared" si="8"/>
      </c>
      <c r="V44" s="76"/>
      <c r="W44" s="77"/>
    </row>
    <row r="45" spans="1:23" ht="12.75">
      <c r="A45" s="90">
        <v>29</v>
      </c>
      <c r="B45" s="201">
        <f>IF(OR(AND(AND(ISNUMBER($C45),ISNUMBER($D45)),COUNTBLANK($E45:$I45)=5),(AND(COUNTBLANK($C45:$D45)=2,(AND(OR(AND(AND(ISBLANK($F45),ISBLANK($G45)),ISNUMBER($E45)),AND(AND(ISNUMBER($F45),ISNUMBER($G45)),ISBLANK($E45))),OR(AND(ISBLANK($H45),ISTEXT($I45)),AND(ISNUMBER($H45),ISBLANK($I45)))))))),"",IF(OR(COUNTBLANK($C45:$I45)&lt;&gt;7,COUNT($C46:$J$116)&lt;&gt;0),"Data ?",""))</f>
      </c>
      <c r="C45" s="195"/>
      <c r="D45" s="195"/>
      <c r="E45" s="196"/>
      <c r="F45" s="195"/>
      <c r="G45" s="195"/>
      <c r="H45" s="195"/>
      <c r="I45" s="195"/>
      <c r="J45" s="197"/>
      <c r="K45" s="1"/>
      <c r="L45" s="185">
        <f t="shared" si="0"/>
      </c>
      <c r="M45" s="186">
        <f t="shared" si="3"/>
      </c>
      <c r="N45" s="187">
        <f t="shared" si="4"/>
      </c>
      <c r="O45" s="188">
        <f t="shared" si="5"/>
      </c>
      <c r="P45" s="187">
        <f t="shared" si="6"/>
      </c>
      <c r="Q45" s="188">
        <f t="shared" si="1"/>
      </c>
      <c r="R45" s="187">
        <f t="shared" si="2"/>
      </c>
      <c r="S45" s="188">
        <f t="shared" si="7"/>
      </c>
      <c r="T45" s="207">
        <f t="shared" si="8"/>
      </c>
      <c r="V45" s="33"/>
      <c r="W45" s="78"/>
    </row>
    <row r="46" spans="1:23" ht="12.75">
      <c r="A46" s="90">
        <v>30</v>
      </c>
      <c r="B46" s="201">
        <f>IF(OR(AND(AND(ISNUMBER($C46),ISNUMBER($D46)),COUNTBLANK($E46:$I46)=5),(AND(COUNTBLANK($C46:$D46)=2,(AND(OR(AND(AND(ISBLANK($F46),ISBLANK($G46)),ISNUMBER($E46)),AND(AND(ISNUMBER($F46),ISNUMBER($G46)),ISBLANK($E46))),OR(AND(ISBLANK($H46),ISTEXT($I46)),AND(ISNUMBER($H46),ISBLANK($I46)))))))),"",IF(OR(COUNTBLANK($C46:$I46)&lt;&gt;7,COUNT($C47:$J$116)&lt;&gt;0),"Data ?",""))</f>
      </c>
      <c r="C46" s="195"/>
      <c r="D46" s="195"/>
      <c r="E46" s="196"/>
      <c r="F46" s="195"/>
      <c r="G46" s="195"/>
      <c r="H46" s="195"/>
      <c r="I46" s="195"/>
      <c r="J46" s="197"/>
      <c r="K46" s="1"/>
      <c r="L46" s="185">
        <f t="shared" si="0"/>
      </c>
      <c r="M46" s="186">
        <f t="shared" si="3"/>
      </c>
      <c r="N46" s="187">
        <f t="shared" si="4"/>
      </c>
      <c r="O46" s="188">
        <f t="shared" si="5"/>
      </c>
      <c r="P46" s="187">
        <f t="shared" si="6"/>
      </c>
      <c r="Q46" s="188">
        <f t="shared" si="1"/>
      </c>
      <c r="R46" s="187">
        <f t="shared" si="2"/>
      </c>
      <c r="S46" s="188">
        <f t="shared" si="7"/>
      </c>
      <c r="T46" s="207">
        <f t="shared" si="8"/>
      </c>
      <c r="V46" s="12"/>
      <c r="W46" s="12"/>
    </row>
    <row r="47" spans="1:23" ht="12.75">
      <c r="A47" s="90">
        <v>31</v>
      </c>
      <c r="B47" s="201">
        <f>IF(OR(AND(AND(ISNUMBER($C47),ISNUMBER($D47)),COUNTBLANK($E47:$I47)=5),(AND(COUNTBLANK($C47:$D47)=2,(AND(OR(AND(AND(ISBLANK($F47),ISBLANK($G47)),ISNUMBER($E47)),AND(AND(ISNUMBER($F47),ISNUMBER($G47)),ISBLANK($E47))),OR(AND(ISBLANK($H47),ISTEXT($I47)),AND(ISNUMBER($H47),ISBLANK($I47)))))))),"",IF(OR(COUNTBLANK($C47:$I47)&lt;&gt;7,COUNT($C48:$J$116)&lt;&gt;0),"Data ?",""))</f>
      </c>
      <c r="C47" s="195"/>
      <c r="D47" s="195"/>
      <c r="E47" s="196"/>
      <c r="F47" s="195"/>
      <c r="G47" s="195"/>
      <c r="H47" s="195"/>
      <c r="I47" s="195"/>
      <c r="J47" s="197"/>
      <c r="K47" s="1"/>
      <c r="L47" s="185">
        <f t="shared" si="0"/>
      </c>
      <c r="M47" s="186">
        <f t="shared" si="3"/>
      </c>
      <c r="N47" s="187">
        <f t="shared" si="4"/>
      </c>
      <c r="O47" s="188">
        <f t="shared" si="5"/>
      </c>
      <c r="P47" s="187">
        <f t="shared" si="6"/>
      </c>
      <c r="Q47" s="188">
        <f t="shared" si="1"/>
      </c>
      <c r="R47" s="187">
        <f t="shared" si="2"/>
      </c>
      <c r="S47" s="188">
        <f t="shared" si="7"/>
      </c>
      <c r="T47" s="207">
        <f t="shared" si="8"/>
      </c>
      <c r="V47" s="73"/>
      <c r="W47" s="73"/>
    </row>
    <row r="48" spans="1:23" ht="12.75">
      <c r="A48" s="90">
        <v>32</v>
      </c>
      <c r="B48" s="201">
        <f>IF(OR(AND(AND(ISNUMBER($C48),ISNUMBER($D48)),COUNTBLANK($E48:$I48)=5),(AND(COUNTBLANK($C48:$D48)=2,(AND(OR(AND(AND(ISBLANK($F48),ISBLANK($G48)),ISNUMBER($E48)),AND(AND(ISNUMBER($F48),ISNUMBER($G48)),ISBLANK($E48))),OR(AND(ISBLANK($H48),ISTEXT($I48)),AND(ISNUMBER($H48),ISBLANK($I48)))))))),"",IF(OR(COUNTBLANK($C48:$I48)&lt;&gt;7,COUNT($C49:$J$116)&lt;&gt;0),"Data ?",""))</f>
      </c>
      <c r="C48" s="195"/>
      <c r="D48" s="195"/>
      <c r="E48" s="196"/>
      <c r="F48" s="195"/>
      <c r="G48" s="195"/>
      <c r="H48" s="195"/>
      <c r="I48" s="195"/>
      <c r="J48" s="197"/>
      <c r="K48" s="1"/>
      <c r="L48" s="185">
        <f t="shared" si="0"/>
      </c>
      <c r="M48" s="186">
        <f t="shared" si="3"/>
      </c>
      <c r="N48" s="187">
        <f t="shared" si="4"/>
      </c>
      <c r="O48" s="188">
        <f t="shared" si="5"/>
      </c>
      <c r="P48" s="187">
        <f t="shared" si="6"/>
      </c>
      <c r="Q48" s="188">
        <f t="shared" si="1"/>
      </c>
      <c r="R48" s="187">
        <f t="shared" si="2"/>
      </c>
      <c r="S48" s="188">
        <f t="shared" si="7"/>
      </c>
      <c r="T48" s="207">
        <f t="shared" si="8"/>
      </c>
      <c r="V48" s="40"/>
      <c r="W48" s="39"/>
    </row>
    <row r="49" spans="1:23" ht="12.75">
      <c r="A49" s="90">
        <v>33</v>
      </c>
      <c r="B49" s="201">
        <f>IF(OR(AND(AND(ISNUMBER($C49),ISNUMBER($D49)),COUNTBLANK($E49:$I49)=5),(AND(COUNTBLANK($C49:$D49)=2,(AND(OR(AND(AND(ISBLANK($F49),ISBLANK($G49)),ISNUMBER($E49)),AND(AND(ISNUMBER($F49),ISNUMBER($G49)),ISBLANK($E49))),OR(AND(ISBLANK($H49),ISTEXT($I49)),AND(ISNUMBER($H49),ISBLANK($I49)))))))),"",IF(OR(COUNTBLANK($C49:$I49)&lt;&gt;7,COUNT($C50:$J$116)&lt;&gt;0),"Data ?",""))</f>
      </c>
      <c r="C49" s="195"/>
      <c r="D49" s="195"/>
      <c r="E49" s="196"/>
      <c r="F49" s="195"/>
      <c r="G49" s="195"/>
      <c r="H49" s="195"/>
      <c r="I49" s="195"/>
      <c r="J49" s="197"/>
      <c r="K49" s="1"/>
      <c r="L49" s="185">
        <f t="shared" si="0"/>
      </c>
      <c r="M49" s="186">
        <f t="shared" si="3"/>
      </c>
      <c r="N49" s="187">
        <f t="shared" si="4"/>
      </c>
      <c r="O49" s="188">
        <f t="shared" si="5"/>
      </c>
      <c r="P49" s="187">
        <f t="shared" si="6"/>
      </c>
      <c r="Q49" s="188">
        <f aca="true" t="shared" si="9" ref="Q49:Q80">IF(L49="","",IF(AND(ISNUMBER(C49),ISNUMBER(D49)),C49,IF(ISERROR(Q48+O49),"",(Q48+O49))))</f>
      </c>
      <c r="R49" s="187">
        <f aca="true" t="shared" si="10" ref="R49:R80">IF(L49="","",IF(AND(ISNUMBER(C49),ISNUMBER(D49)),D49,IF(ISERROR(R48+P49),"",(R48+P49))))</f>
      </c>
      <c r="S49" s="188">
        <f t="shared" si="7"/>
      </c>
      <c r="T49" s="207">
        <f t="shared" si="8"/>
      </c>
      <c r="V49" s="33"/>
      <c r="W49" s="79"/>
    </row>
    <row r="50" spans="1:23" ht="12.75">
      <c r="A50" s="90">
        <v>34</v>
      </c>
      <c r="B50" s="201">
        <f>IF(OR(AND(AND(ISNUMBER($C50),ISNUMBER($D50)),COUNTBLANK($E50:$I50)=5),(AND(COUNTBLANK($C50:$D50)=2,(AND(OR(AND(AND(ISBLANK($F50),ISBLANK($G50)),ISNUMBER($E50)),AND(AND(ISNUMBER($F50),ISNUMBER($G50)),ISBLANK($E50))),OR(AND(ISBLANK($H50),ISTEXT($I50)),AND(ISNUMBER($H50),ISBLANK($I50)))))))),"",IF(OR(COUNTBLANK($C50:$I50)&lt;&gt;7,COUNT($C51:$J$116)&lt;&gt;0),"Data ?",""))</f>
      </c>
      <c r="C50" s="195"/>
      <c r="D50" s="195"/>
      <c r="E50" s="196"/>
      <c r="F50" s="195"/>
      <c r="G50" s="195"/>
      <c r="H50" s="195"/>
      <c r="I50" s="195"/>
      <c r="J50" s="197"/>
      <c r="K50" s="1"/>
      <c r="L50" s="185">
        <f t="shared" si="0"/>
      </c>
      <c r="M50" s="186">
        <f t="shared" si="3"/>
      </c>
      <c r="N50" s="187">
        <f t="shared" si="4"/>
      </c>
      <c r="O50" s="188">
        <f t="shared" si="5"/>
      </c>
      <c r="P50" s="187">
        <f t="shared" si="6"/>
      </c>
      <c r="Q50" s="188">
        <f t="shared" si="9"/>
      </c>
      <c r="R50" s="187">
        <f t="shared" si="10"/>
      </c>
      <c r="S50" s="188">
        <f t="shared" si="7"/>
      </c>
      <c r="T50" s="207">
        <f t="shared" si="8"/>
      </c>
      <c r="V50" s="25"/>
      <c r="W50" s="30"/>
    </row>
    <row r="51" spans="1:23" ht="12.75">
      <c r="A51" s="90">
        <v>35</v>
      </c>
      <c r="B51" s="201">
        <f>IF(OR(AND(AND(ISNUMBER($C51),ISNUMBER($D51)),COUNTBLANK($E51:$I51)=5),(AND(COUNTBLANK($C51:$D51)=2,(AND(OR(AND(AND(ISBLANK($F51),ISBLANK($G51)),ISNUMBER($E51)),AND(AND(ISNUMBER($F51),ISNUMBER($G51)),ISBLANK($E51))),OR(AND(ISBLANK($H51),ISTEXT($I51)),AND(ISNUMBER($H51),ISBLANK($I51)))))))),"",IF(OR(COUNTBLANK($C51:$I51)&lt;&gt;7,COUNT($C52:$J$116)&lt;&gt;0),"Data ?",""))</f>
      </c>
      <c r="C51" s="195"/>
      <c r="D51" s="195"/>
      <c r="E51" s="196"/>
      <c r="F51" s="195"/>
      <c r="G51" s="195"/>
      <c r="H51" s="195"/>
      <c r="I51" s="195"/>
      <c r="J51" s="197"/>
      <c r="K51" s="1"/>
      <c r="L51" s="185">
        <f t="shared" si="0"/>
      </c>
      <c r="M51" s="186">
        <f t="shared" si="3"/>
      </c>
      <c r="N51" s="187">
        <f t="shared" si="4"/>
      </c>
      <c r="O51" s="188">
        <f t="shared" si="5"/>
      </c>
      <c r="P51" s="187">
        <f t="shared" si="6"/>
      </c>
      <c r="Q51" s="188">
        <f t="shared" si="9"/>
      </c>
      <c r="R51" s="187">
        <f t="shared" si="10"/>
      </c>
      <c r="S51" s="188">
        <f t="shared" si="7"/>
      </c>
      <c r="T51" s="207">
        <f t="shared" si="8"/>
      </c>
      <c r="V51" s="25"/>
      <c r="W51" s="30"/>
    </row>
    <row r="52" spans="1:23" ht="12.75">
      <c r="A52" s="90">
        <v>36</v>
      </c>
      <c r="B52" s="201">
        <f>IF(OR(AND(AND(ISNUMBER($C52),ISNUMBER($D52)),COUNTBLANK($E52:$I52)=5),(AND(COUNTBLANK($C52:$D52)=2,(AND(OR(AND(AND(ISBLANK($F52),ISBLANK($G52)),ISNUMBER($E52)),AND(AND(ISNUMBER($F52),ISNUMBER($G52)),ISBLANK($E52))),OR(AND(ISBLANK($H52),ISTEXT($I52)),AND(ISNUMBER($H52),ISBLANK($I52)))))))),"",IF(OR(COUNTBLANK($C52:$I52)&lt;&gt;7,COUNT($C53:$J$116)&lt;&gt;0),"Data ?",""))</f>
      </c>
      <c r="C52" s="195"/>
      <c r="D52" s="195"/>
      <c r="E52" s="196"/>
      <c r="F52" s="195"/>
      <c r="G52" s="195"/>
      <c r="H52" s="195"/>
      <c r="I52" s="195"/>
      <c r="J52" s="197"/>
      <c r="K52" s="1"/>
      <c r="L52" s="185">
        <f t="shared" si="0"/>
      </c>
      <c r="M52" s="186">
        <f t="shared" si="3"/>
      </c>
      <c r="N52" s="187">
        <f t="shared" si="4"/>
      </c>
      <c r="O52" s="188">
        <f t="shared" si="5"/>
      </c>
      <c r="P52" s="187">
        <f t="shared" si="6"/>
      </c>
      <c r="Q52" s="188">
        <f t="shared" si="9"/>
      </c>
      <c r="R52" s="187">
        <f t="shared" si="10"/>
      </c>
      <c r="S52" s="188">
        <f t="shared" si="7"/>
      </c>
      <c r="T52" s="207">
        <f t="shared" si="8"/>
      </c>
      <c r="V52" s="25"/>
      <c r="W52" s="30"/>
    </row>
    <row r="53" spans="1:23" ht="12.75">
      <c r="A53" s="90">
        <v>37</v>
      </c>
      <c r="B53" s="201">
        <f>IF(OR(AND(AND(ISNUMBER($C53),ISNUMBER($D53)),COUNTBLANK($E53:$I53)=5),(AND(COUNTBLANK($C53:$D53)=2,(AND(OR(AND(AND(ISBLANK($F53),ISBLANK($G53)),ISNUMBER($E53)),AND(AND(ISNUMBER($F53),ISNUMBER($G53)),ISBLANK($E53))),OR(AND(ISBLANK($H53),ISTEXT($I53)),AND(ISNUMBER($H53),ISBLANK($I53)))))))),"",IF(OR(COUNTBLANK($C53:$I53)&lt;&gt;7,COUNT($C54:$J$116)&lt;&gt;0),"Data ?",""))</f>
      </c>
      <c r="C53" s="195"/>
      <c r="D53" s="195"/>
      <c r="E53" s="196"/>
      <c r="F53" s="195"/>
      <c r="G53" s="195"/>
      <c r="H53" s="195"/>
      <c r="I53" s="195"/>
      <c r="J53" s="197"/>
      <c r="K53" s="1"/>
      <c r="L53" s="185">
        <f t="shared" si="0"/>
      </c>
      <c r="M53" s="186">
        <f t="shared" si="3"/>
      </c>
      <c r="N53" s="187">
        <f t="shared" si="4"/>
      </c>
      <c r="O53" s="188">
        <f t="shared" si="5"/>
      </c>
      <c r="P53" s="187">
        <f t="shared" si="6"/>
      </c>
      <c r="Q53" s="188">
        <f t="shared" si="9"/>
      </c>
      <c r="R53" s="187">
        <f t="shared" si="10"/>
      </c>
      <c r="S53" s="188">
        <f t="shared" si="7"/>
      </c>
      <c r="T53" s="207">
        <f t="shared" si="8"/>
      </c>
      <c r="V53" s="25"/>
      <c r="W53" s="30"/>
    </row>
    <row r="54" spans="1:23" ht="12.75">
      <c r="A54" s="90">
        <v>38</v>
      </c>
      <c r="B54" s="201">
        <f>IF(OR(AND(AND(ISNUMBER($C54),ISNUMBER($D54)),COUNTBLANK($E54:$I54)=5),(AND(COUNTBLANK($C54:$D54)=2,(AND(OR(AND(AND(ISBLANK($F54),ISBLANK($G54)),ISNUMBER($E54)),AND(AND(ISNUMBER($F54),ISNUMBER($G54)),ISBLANK($E54))),OR(AND(ISBLANK($H54),ISTEXT($I54)),AND(ISNUMBER($H54),ISBLANK($I54)))))))),"",IF(OR(COUNTBLANK($C54:$I54)&lt;&gt;7,COUNT($C55:$J$116)&lt;&gt;0),"Data ?",""))</f>
      </c>
      <c r="C54" s="195"/>
      <c r="D54" s="195"/>
      <c r="E54" s="196"/>
      <c r="F54" s="195"/>
      <c r="G54" s="195"/>
      <c r="H54" s="195"/>
      <c r="I54" s="195"/>
      <c r="J54" s="197"/>
      <c r="K54" s="1"/>
      <c r="L54" s="185">
        <f t="shared" si="0"/>
      </c>
      <c r="M54" s="186">
        <f t="shared" si="3"/>
      </c>
      <c r="N54" s="187">
        <f t="shared" si="4"/>
      </c>
      <c r="O54" s="188">
        <f t="shared" si="5"/>
      </c>
      <c r="P54" s="187">
        <f t="shared" si="6"/>
      </c>
      <c r="Q54" s="188">
        <f t="shared" si="9"/>
      </c>
      <c r="R54" s="187">
        <f t="shared" si="10"/>
      </c>
      <c r="S54" s="188">
        <f t="shared" si="7"/>
      </c>
      <c r="T54" s="207">
        <f t="shared" si="8"/>
      </c>
      <c r="V54" s="25"/>
      <c r="W54" s="30"/>
    </row>
    <row r="55" spans="1:23" ht="12.75">
      <c r="A55" s="90">
        <v>39</v>
      </c>
      <c r="B55" s="201">
        <f>IF(OR(AND(AND(ISNUMBER($C55),ISNUMBER($D55)),COUNTBLANK($E55:$I55)=5),(AND(COUNTBLANK($C55:$D55)=2,(AND(OR(AND(AND(ISBLANK($F55),ISBLANK($G55)),ISNUMBER($E55)),AND(AND(ISNUMBER($F55),ISNUMBER($G55)),ISBLANK($E55))),OR(AND(ISBLANK($H55),ISTEXT($I55)),AND(ISNUMBER($H55),ISBLANK($I55)))))))),"",IF(OR(COUNTBLANK($C55:$I55)&lt;&gt;7,COUNT($C56:$J$116)&lt;&gt;0),"Data ?",""))</f>
      </c>
      <c r="C55" s="195"/>
      <c r="D55" s="195"/>
      <c r="E55" s="196"/>
      <c r="F55" s="195"/>
      <c r="G55" s="195"/>
      <c r="H55" s="195"/>
      <c r="I55" s="195"/>
      <c r="J55" s="197"/>
      <c r="K55" s="1"/>
      <c r="L55" s="185">
        <f t="shared" si="0"/>
      </c>
      <c r="M55" s="186">
        <f t="shared" si="3"/>
      </c>
      <c r="N55" s="187">
        <f t="shared" si="4"/>
      </c>
      <c r="O55" s="188">
        <f t="shared" si="5"/>
      </c>
      <c r="P55" s="187">
        <f t="shared" si="6"/>
      </c>
      <c r="Q55" s="188">
        <f t="shared" si="9"/>
      </c>
      <c r="R55" s="187">
        <f t="shared" si="10"/>
      </c>
      <c r="S55" s="188">
        <f t="shared" si="7"/>
      </c>
      <c r="T55" s="207">
        <f t="shared" si="8"/>
      </c>
      <c r="V55" s="25"/>
      <c r="W55" s="30"/>
    </row>
    <row r="56" spans="1:23" ht="12.75">
      <c r="A56" s="90">
        <v>40</v>
      </c>
      <c r="B56" s="201">
        <f>IF(OR(AND(AND(ISNUMBER($C56),ISNUMBER($D56)),COUNTBLANK($E56:$I56)=5),(AND(COUNTBLANK($C56:$D56)=2,(AND(OR(AND(AND(ISBLANK($F56),ISBLANK($G56)),ISNUMBER($E56)),AND(AND(ISNUMBER($F56),ISNUMBER($G56)),ISBLANK($E56))),OR(AND(ISBLANK($H56),ISTEXT($I56)),AND(ISNUMBER($H56),ISBLANK($I56)))))))),"",IF(OR(COUNTBLANK($C56:$I56)&lt;&gt;7,COUNT($C57:$J$116)&lt;&gt;0),"Data ?",""))</f>
      </c>
      <c r="C56" s="195"/>
      <c r="D56" s="195"/>
      <c r="E56" s="196"/>
      <c r="F56" s="195"/>
      <c r="G56" s="195"/>
      <c r="H56" s="195"/>
      <c r="I56" s="195"/>
      <c r="J56" s="197"/>
      <c r="K56" s="1"/>
      <c r="L56" s="185">
        <f t="shared" si="0"/>
      </c>
      <c r="M56" s="186">
        <f t="shared" si="3"/>
      </c>
      <c r="N56" s="187">
        <f t="shared" si="4"/>
      </c>
      <c r="O56" s="188">
        <f t="shared" si="5"/>
      </c>
      <c r="P56" s="187">
        <f t="shared" si="6"/>
      </c>
      <c r="Q56" s="188">
        <f t="shared" si="9"/>
      </c>
      <c r="R56" s="187">
        <f t="shared" si="10"/>
      </c>
      <c r="S56" s="188">
        <f t="shared" si="7"/>
      </c>
      <c r="T56" s="207">
        <f t="shared" si="8"/>
      </c>
      <c r="V56" s="25"/>
      <c r="W56" s="30"/>
    </row>
    <row r="57" spans="1:23" ht="12.75">
      <c r="A57" s="90">
        <v>41</v>
      </c>
      <c r="B57" s="201">
        <f>IF(OR(AND(AND(ISNUMBER($C57),ISNUMBER($D57)),COUNTBLANK($E57:$I57)=5),(AND(COUNTBLANK($C57:$D57)=2,(AND(OR(AND(AND(ISBLANK($F57),ISBLANK($G57)),ISNUMBER($E57)),AND(AND(ISNUMBER($F57),ISNUMBER($G57)),ISBLANK($E57))),OR(AND(ISBLANK($H57),ISTEXT($I57)),AND(ISNUMBER($H57),ISBLANK($I57)))))))),"",IF(OR(COUNTBLANK($C57:$I57)&lt;&gt;7,COUNT($C58:$J$116)&lt;&gt;0),"Data ?",""))</f>
      </c>
      <c r="C57" s="195"/>
      <c r="D57" s="195"/>
      <c r="E57" s="196"/>
      <c r="F57" s="195"/>
      <c r="G57" s="195"/>
      <c r="H57" s="195"/>
      <c r="I57" s="195"/>
      <c r="J57" s="197"/>
      <c r="K57" s="1"/>
      <c r="L57" s="185">
        <f t="shared" si="0"/>
      </c>
      <c r="M57" s="186">
        <f t="shared" si="3"/>
      </c>
      <c r="N57" s="187">
        <f t="shared" si="4"/>
      </c>
      <c r="O57" s="188">
        <f t="shared" si="5"/>
      </c>
      <c r="P57" s="187">
        <f t="shared" si="6"/>
      </c>
      <c r="Q57" s="188">
        <f t="shared" si="9"/>
      </c>
      <c r="R57" s="187">
        <f t="shared" si="10"/>
      </c>
      <c r="S57" s="188">
        <f t="shared" si="7"/>
      </c>
      <c r="T57" s="207">
        <f t="shared" si="8"/>
      </c>
      <c r="V57" s="25"/>
      <c r="W57" s="30"/>
    </row>
    <row r="58" spans="1:23" ht="12.75">
      <c r="A58" s="90">
        <v>42</v>
      </c>
      <c r="B58" s="201">
        <f>IF(OR(AND(AND(ISNUMBER($C58),ISNUMBER($D58)),COUNTBLANK($E58:$I58)=5),(AND(COUNTBLANK($C58:$D58)=2,(AND(OR(AND(AND(ISBLANK($F58),ISBLANK($G58)),ISNUMBER($E58)),AND(AND(ISNUMBER($F58),ISNUMBER($G58)),ISBLANK($E58))),OR(AND(ISBLANK($H58),ISTEXT($I58)),AND(ISNUMBER($H58),ISBLANK($I58)))))))),"",IF(OR(COUNTBLANK($C58:$I58)&lt;&gt;7,COUNT($C59:$J$116)&lt;&gt;0),"Data ?",""))</f>
      </c>
      <c r="C58" s="195"/>
      <c r="D58" s="195"/>
      <c r="E58" s="196"/>
      <c r="F58" s="195"/>
      <c r="G58" s="195"/>
      <c r="H58" s="195"/>
      <c r="I58" s="195"/>
      <c r="J58" s="197"/>
      <c r="K58" s="2"/>
      <c r="L58" s="185">
        <f t="shared" si="0"/>
      </c>
      <c r="M58" s="186">
        <f t="shared" si="3"/>
      </c>
      <c r="N58" s="187">
        <f t="shared" si="4"/>
      </c>
      <c r="O58" s="188">
        <f t="shared" si="5"/>
      </c>
      <c r="P58" s="187">
        <f t="shared" si="6"/>
      </c>
      <c r="Q58" s="188">
        <f t="shared" si="9"/>
      </c>
      <c r="R58" s="187">
        <f t="shared" si="10"/>
      </c>
      <c r="S58" s="188">
        <f t="shared" si="7"/>
      </c>
      <c r="T58" s="207">
        <f t="shared" si="8"/>
      </c>
      <c r="V58" s="25"/>
      <c r="W58" s="30"/>
    </row>
    <row r="59" spans="1:23" ht="12.75">
      <c r="A59" s="90">
        <v>43</v>
      </c>
      <c r="B59" s="201">
        <f>IF(OR(AND(AND(ISNUMBER($C59),ISNUMBER($D59)),COUNTBLANK($E59:$I59)=5),(AND(COUNTBLANK($C59:$D59)=2,(AND(OR(AND(AND(ISBLANK($F59),ISBLANK($G59)),ISNUMBER($E59)),AND(AND(ISNUMBER($F59),ISNUMBER($G59)),ISBLANK($E59))),OR(AND(ISBLANK($H59),ISTEXT($I59)),AND(ISNUMBER($H59),ISBLANK($I59)))))))),"",IF(OR(COUNTBLANK($C59:$I59)&lt;&gt;7,COUNT($C60:$J$116)&lt;&gt;0),"Data ?",""))</f>
      </c>
      <c r="C59" s="195"/>
      <c r="D59" s="195"/>
      <c r="E59" s="196"/>
      <c r="F59" s="195"/>
      <c r="G59" s="195"/>
      <c r="H59" s="195"/>
      <c r="I59" s="195"/>
      <c r="J59" s="197"/>
      <c r="K59" s="1"/>
      <c r="L59" s="185">
        <f t="shared" si="0"/>
      </c>
      <c r="M59" s="186">
        <f t="shared" si="3"/>
      </c>
      <c r="N59" s="187">
        <f t="shared" si="4"/>
      </c>
      <c r="O59" s="188">
        <f t="shared" si="5"/>
      </c>
      <c r="P59" s="187">
        <f t="shared" si="6"/>
      </c>
      <c r="Q59" s="188">
        <f t="shared" si="9"/>
      </c>
      <c r="R59" s="187">
        <f t="shared" si="10"/>
      </c>
      <c r="S59" s="188">
        <f t="shared" si="7"/>
      </c>
      <c r="T59" s="207">
        <f t="shared" si="8"/>
      </c>
      <c r="V59" s="25"/>
      <c r="W59" s="30"/>
    </row>
    <row r="60" spans="1:22" ht="12.75">
      <c r="A60" s="90">
        <v>44</v>
      </c>
      <c r="B60" s="201">
        <f>IF(OR(AND(AND(ISNUMBER($C60),ISNUMBER($D60)),COUNTBLANK($E60:$I60)=5),(AND(COUNTBLANK($C60:$D60)=2,(AND(OR(AND(AND(ISBLANK($F60),ISBLANK($G60)),ISNUMBER($E60)),AND(AND(ISNUMBER($F60),ISNUMBER($G60)),ISBLANK($E60))),OR(AND(ISBLANK($H60),ISTEXT($I60)),AND(ISNUMBER($H60),ISBLANK($I60)))))))),"",IF(OR(COUNTBLANK($C60:$I60)&lt;&gt;7,COUNT($C61:$J$116)&lt;&gt;0),"Data ?",""))</f>
      </c>
      <c r="C60" s="195"/>
      <c r="D60" s="195"/>
      <c r="E60" s="196"/>
      <c r="F60" s="195"/>
      <c r="G60" s="195"/>
      <c r="H60" s="195"/>
      <c r="I60" s="195"/>
      <c r="J60" s="197"/>
      <c r="K60" s="1"/>
      <c r="L60" s="185">
        <f t="shared" si="0"/>
      </c>
      <c r="M60" s="186">
        <f t="shared" si="3"/>
      </c>
      <c r="N60" s="187">
        <f t="shared" si="4"/>
      </c>
      <c r="O60" s="188">
        <f t="shared" si="5"/>
      </c>
      <c r="P60" s="187">
        <f t="shared" si="6"/>
      </c>
      <c r="Q60" s="188">
        <f t="shared" si="9"/>
      </c>
      <c r="R60" s="187">
        <f t="shared" si="10"/>
      </c>
      <c r="S60" s="188">
        <f t="shared" si="7"/>
      </c>
      <c r="T60" s="207">
        <f t="shared" si="8"/>
      </c>
      <c r="V60" s="1"/>
    </row>
    <row r="61" spans="1:22" ht="12.75">
      <c r="A61" s="90">
        <v>45</v>
      </c>
      <c r="B61" s="201">
        <f>IF(OR(AND(AND(ISNUMBER($C61),ISNUMBER($D61)),COUNTBLANK($E61:$I61)=5),(AND(COUNTBLANK($C61:$D61)=2,(AND(OR(AND(AND(ISBLANK($F61),ISBLANK($G61)),ISNUMBER($E61)),AND(AND(ISNUMBER($F61),ISNUMBER($G61)),ISBLANK($E61))),OR(AND(ISBLANK($H61),ISTEXT($I61)),AND(ISNUMBER($H61),ISBLANK($I61)))))))),"",IF(OR(COUNTBLANK($C61:$I61)&lt;&gt;7,COUNT($C62:$J$116)&lt;&gt;0),"Data ?",""))</f>
      </c>
      <c r="C61" s="195"/>
      <c r="D61" s="195"/>
      <c r="E61" s="196"/>
      <c r="F61" s="195"/>
      <c r="G61" s="195"/>
      <c r="H61" s="195"/>
      <c r="I61" s="195"/>
      <c r="J61" s="197"/>
      <c r="K61" s="1"/>
      <c r="L61" s="185">
        <f t="shared" si="0"/>
      </c>
      <c r="M61" s="186">
        <f t="shared" si="3"/>
      </c>
      <c r="N61" s="187">
        <f t="shared" si="4"/>
      </c>
      <c r="O61" s="188">
        <f t="shared" si="5"/>
      </c>
      <c r="P61" s="187">
        <f t="shared" si="6"/>
      </c>
      <c r="Q61" s="188">
        <f t="shared" si="9"/>
      </c>
      <c r="R61" s="187">
        <f t="shared" si="10"/>
      </c>
      <c r="S61" s="188">
        <f t="shared" si="7"/>
      </c>
      <c r="T61" s="207">
        <f t="shared" si="8"/>
      </c>
      <c r="V61" s="1"/>
    </row>
    <row r="62" spans="1:22" ht="12.75">
      <c r="A62" s="90">
        <v>46</v>
      </c>
      <c r="B62" s="201">
        <f>IF(OR(AND(AND(ISNUMBER($C62),ISNUMBER($D62)),COUNTBLANK($E62:$I62)=5),(AND(COUNTBLANK($C62:$D62)=2,(AND(OR(AND(AND(ISBLANK($F62),ISBLANK($G62)),ISNUMBER($E62)),AND(AND(ISNUMBER($F62),ISNUMBER($G62)),ISBLANK($E62))),OR(AND(ISBLANK($H62),ISTEXT($I62)),AND(ISNUMBER($H62),ISBLANK($I62)))))))),"",IF(OR(COUNTBLANK($C62:$I62)&lt;&gt;7,COUNT($C63:$J$116)&lt;&gt;0),"Data ?",""))</f>
      </c>
      <c r="C62" s="195"/>
      <c r="D62" s="195"/>
      <c r="E62" s="196"/>
      <c r="F62" s="195"/>
      <c r="G62" s="195"/>
      <c r="H62" s="195"/>
      <c r="I62" s="195"/>
      <c r="J62" s="197"/>
      <c r="K62" s="1"/>
      <c r="L62" s="185">
        <f t="shared" si="0"/>
      </c>
      <c r="M62" s="186">
        <f t="shared" si="3"/>
      </c>
      <c r="N62" s="187">
        <f t="shared" si="4"/>
      </c>
      <c r="O62" s="188">
        <f t="shared" si="5"/>
      </c>
      <c r="P62" s="187">
        <f t="shared" si="6"/>
      </c>
      <c r="Q62" s="188">
        <f t="shared" si="9"/>
      </c>
      <c r="R62" s="187">
        <f t="shared" si="10"/>
      </c>
      <c r="S62" s="188">
        <f t="shared" si="7"/>
      </c>
      <c r="T62" s="207">
        <f t="shared" si="8"/>
      </c>
      <c r="V62" s="1"/>
    </row>
    <row r="63" spans="1:22" ht="12.75">
      <c r="A63" s="90">
        <v>47</v>
      </c>
      <c r="B63" s="201">
        <f>IF(OR(AND(AND(ISNUMBER($C63),ISNUMBER($D63)),COUNTBLANK($E63:$I63)=5),(AND(COUNTBLANK($C63:$D63)=2,(AND(OR(AND(AND(ISBLANK($F63),ISBLANK($G63)),ISNUMBER($E63)),AND(AND(ISNUMBER($F63),ISNUMBER($G63)),ISBLANK($E63))),OR(AND(ISBLANK($H63),ISTEXT($I63)),AND(ISNUMBER($H63),ISBLANK($I63)))))))),"",IF(OR(COUNTBLANK($C63:$I63)&lt;&gt;7,COUNT($C64:$J$116)&lt;&gt;0),"Data ?",""))</f>
      </c>
      <c r="C63" s="195"/>
      <c r="D63" s="195"/>
      <c r="E63" s="196"/>
      <c r="F63" s="195"/>
      <c r="G63" s="195"/>
      <c r="H63" s="195"/>
      <c r="I63" s="195"/>
      <c r="J63" s="197"/>
      <c r="K63" s="1"/>
      <c r="L63" s="185">
        <f t="shared" si="0"/>
      </c>
      <c r="M63" s="186">
        <f t="shared" si="3"/>
      </c>
      <c r="N63" s="187">
        <f t="shared" si="4"/>
      </c>
      <c r="O63" s="188">
        <f t="shared" si="5"/>
      </c>
      <c r="P63" s="187">
        <f t="shared" si="6"/>
      </c>
      <c r="Q63" s="188">
        <f t="shared" si="9"/>
      </c>
      <c r="R63" s="187">
        <f t="shared" si="10"/>
      </c>
      <c r="S63" s="188">
        <f t="shared" si="7"/>
      </c>
      <c r="T63" s="207">
        <f t="shared" si="8"/>
      </c>
      <c r="V63" s="1"/>
    </row>
    <row r="64" spans="1:22" ht="12.75">
      <c r="A64" s="90">
        <v>48</v>
      </c>
      <c r="B64" s="201">
        <f>IF(OR(AND(AND(ISNUMBER($C64),ISNUMBER($D64)),COUNTBLANK($E64:$I64)=5),(AND(COUNTBLANK($C64:$D64)=2,(AND(OR(AND(AND(ISBLANK($F64),ISBLANK($G64)),ISNUMBER($E64)),AND(AND(ISNUMBER($F64),ISNUMBER($G64)),ISBLANK($E64))),OR(AND(ISBLANK($H64),ISTEXT($I64)),AND(ISNUMBER($H64),ISBLANK($I64)))))))),"",IF(OR(COUNTBLANK($C64:$I64)&lt;&gt;7,COUNT($C65:$J$116)&lt;&gt;0),"Data ?",""))</f>
      </c>
      <c r="C64" s="195"/>
      <c r="D64" s="195"/>
      <c r="E64" s="196"/>
      <c r="F64" s="195"/>
      <c r="G64" s="195"/>
      <c r="H64" s="195"/>
      <c r="I64" s="195"/>
      <c r="J64" s="197"/>
      <c r="K64" s="1"/>
      <c r="L64" s="185">
        <f t="shared" si="0"/>
      </c>
      <c r="M64" s="186">
        <f t="shared" si="3"/>
      </c>
      <c r="N64" s="187">
        <f t="shared" si="4"/>
      </c>
      <c r="O64" s="188">
        <f t="shared" si="5"/>
      </c>
      <c r="P64" s="187">
        <f t="shared" si="6"/>
      </c>
      <c r="Q64" s="188">
        <f t="shared" si="9"/>
      </c>
      <c r="R64" s="187">
        <f t="shared" si="10"/>
      </c>
      <c r="S64" s="188">
        <f t="shared" si="7"/>
      </c>
      <c r="T64" s="207">
        <f t="shared" si="8"/>
      </c>
      <c r="V64" s="1"/>
    </row>
    <row r="65" spans="1:22" ht="12.75">
      <c r="A65" s="90">
        <v>49</v>
      </c>
      <c r="B65" s="201">
        <f>IF(OR(AND(AND(ISNUMBER($C65),ISNUMBER($D65)),COUNTBLANK($E65:$I65)=5),(AND(COUNTBLANK($C65:$D65)=2,(AND(OR(AND(AND(ISBLANK($F65),ISBLANK($G65)),ISNUMBER($E65)),AND(AND(ISNUMBER($F65),ISNUMBER($G65)),ISBLANK($E65))),OR(AND(ISBLANK($H65),ISTEXT($I65)),AND(ISNUMBER($H65),ISBLANK($I65)))))))),"",IF(OR(COUNTBLANK($C65:$I65)&lt;&gt;7,COUNT($C66:$J$116)&lt;&gt;0),"Data ?",""))</f>
      </c>
      <c r="C65" s="195"/>
      <c r="D65" s="195"/>
      <c r="E65" s="196"/>
      <c r="F65" s="195"/>
      <c r="G65" s="195"/>
      <c r="H65" s="195"/>
      <c r="I65" s="195"/>
      <c r="J65" s="197"/>
      <c r="K65" s="1"/>
      <c r="L65" s="185">
        <f t="shared" si="0"/>
      </c>
      <c r="M65" s="186">
        <f t="shared" si="3"/>
      </c>
      <c r="N65" s="187">
        <f t="shared" si="4"/>
      </c>
      <c r="O65" s="188">
        <f t="shared" si="5"/>
      </c>
      <c r="P65" s="187">
        <f t="shared" si="6"/>
      </c>
      <c r="Q65" s="188">
        <f t="shared" si="9"/>
      </c>
      <c r="R65" s="187">
        <f t="shared" si="10"/>
      </c>
      <c r="S65" s="188">
        <f t="shared" si="7"/>
      </c>
      <c r="T65" s="207">
        <f t="shared" si="8"/>
      </c>
      <c r="V65" s="1"/>
    </row>
    <row r="66" spans="1:22" ht="12.75">
      <c r="A66" s="90">
        <v>50</v>
      </c>
      <c r="B66" s="201">
        <f>IF(OR(AND(AND(ISNUMBER($C66),ISNUMBER($D66)),COUNTBLANK($E66:$I66)=5),(AND(COUNTBLANK($C66:$D66)=2,(AND(OR(AND(AND(ISBLANK($F66),ISBLANK($G66)),ISNUMBER($E66)),AND(AND(ISNUMBER($F66),ISNUMBER($G66)),ISBLANK($E66))),OR(AND(ISBLANK($H66),ISTEXT($I66)),AND(ISNUMBER($H66),ISBLANK($I66)))))))),"",IF(OR(COUNTBLANK($C66:$I66)&lt;&gt;7,COUNT($C67:$J$116)&lt;&gt;0),"Data ?",""))</f>
      </c>
      <c r="C66" s="195"/>
      <c r="D66" s="195"/>
      <c r="E66" s="196"/>
      <c r="F66" s="195"/>
      <c r="G66" s="195"/>
      <c r="H66" s="195"/>
      <c r="I66" s="195"/>
      <c r="J66" s="197"/>
      <c r="K66" s="1"/>
      <c r="L66" s="185">
        <f t="shared" si="0"/>
      </c>
      <c r="M66" s="186">
        <f t="shared" si="3"/>
      </c>
      <c r="N66" s="187">
        <f t="shared" si="4"/>
      </c>
      <c r="O66" s="188">
        <f t="shared" si="5"/>
      </c>
      <c r="P66" s="187">
        <f t="shared" si="6"/>
      </c>
      <c r="Q66" s="188">
        <f t="shared" si="9"/>
      </c>
      <c r="R66" s="187">
        <f t="shared" si="10"/>
      </c>
      <c r="S66" s="188">
        <f t="shared" si="7"/>
      </c>
      <c r="T66" s="207">
        <f t="shared" si="8"/>
      </c>
      <c r="V66" s="1"/>
    </row>
    <row r="67" spans="1:22" ht="12.75">
      <c r="A67" s="90">
        <v>51</v>
      </c>
      <c r="B67" s="201">
        <f>IF(OR(AND(AND(ISNUMBER($C67),ISNUMBER($D67)),COUNTBLANK($E67:$I67)=5),(AND(COUNTBLANK($C67:$D67)=2,(AND(OR(AND(AND(ISBLANK($F67),ISBLANK($G67)),ISNUMBER($E67)),AND(AND(ISNUMBER($F67),ISNUMBER($G67)),ISBLANK($E67))),OR(AND(ISBLANK($H67),ISTEXT($I67)),AND(ISNUMBER($H67),ISBLANK($I67)))))))),"",IF(OR(COUNTBLANK($C67:$I67)&lt;&gt;7,COUNT($C68:$J$116)&lt;&gt;0),"Data ?",""))</f>
      </c>
      <c r="C67" s="195"/>
      <c r="D67" s="195"/>
      <c r="E67" s="196"/>
      <c r="F67" s="195"/>
      <c r="G67" s="195"/>
      <c r="H67" s="195"/>
      <c r="I67" s="195"/>
      <c r="J67" s="197"/>
      <c r="K67" s="1"/>
      <c r="L67" s="185">
        <f t="shared" si="0"/>
      </c>
      <c r="M67" s="186">
        <f t="shared" si="3"/>
      </c>
      <c r="N67" s="187">
        <f t="shared" si="4"/>
      </c>
      <c r="O67" s="188">
        <f t="shared" si="5"/>
      </c>
      <c r="P67" s="187">
        <f t="shared" si="6"/>
      </c>
      <c r="Q67" s="188">
        <f t="shared" si="9"/>
      </c>
      <c r="R67" s="187">
        <f t="shared" si="10"/>
      </c>
      <c r="S67" s="188">
        <f t="shared" si="7"/>
      </c>
      <c r="T67" s="207">
        <f t="shared" si="8"/>
      </c>
      <c r="V67" s="1"/>
    </row>
    <row r="68" spans="1:22" ht="12.75">
      <c r="A68" s="90">
        <v>52</v>
      </c>
      <c r="B68" s="201">
        <f>IF(OR(AND(AND(ISNUMBER($C68),ISNUMBER($D68)),COUNTBLANK($E68:$I68)=5),(AND(COUNTBLANK($C68:$D68)=2,(AND(OR(AND(AND(ISBLANK($F68),ISBLANK($G68)),ISNUMBER($E68)),AND(AND(ISNUMBER($F68),ISNUMBER($G68)),ISBLANK($E68))),OR(AND(ISBLANK($H68),ISTEXT($I68)),AND(ISNUMBER($H68),ISBLANK($I68)))))))),"",IF(OR(COUNTBLANK($C68:$I68)&lt;&gt;7,COUNT($C69:$J$116)&lt;&gt;0),"Data ?",""))</f>
      </c>
      <c r="C68" s="195"/>
      <c r="D68" s="195"/>
      <c r="E68" s="196"/>
      <c r="F68" s="195"/>
      <c r="G68" s="195"/>
      <c r="H68" s="195"/>
      <c r="I68" s="195"/>
      <c r="J68" s="197"/>
      <c r="K68" s="1"/>
      <c r="L68" s="185">
        <f t="shared" si="0"/>
      </c>
      <c r="M68" s="186">
        <f t="shared" si="3"/>
      </c>
      <c r="N68" s="187">
        <f t="shared" si="4"/>
      </c>
      <c r="O68" s="188">
        <f t="shared" si="5"/>
      </c>
      <c r="P68" s="187">
        <f t="shared" si="6"/>
      </c>
      <c r="Q68" s="188">
        <f t="shared" si="9"/>
      </c>
      <c r="R68" s="187">
        <f t="shared" si="10"/>
      </c>
      <c r="S68" s="188">
        <f t="shared" si="7"/>
      </c>
      <c r="T68" s="207">
        <f t="shared" si="8"/>
      </c>
      <c r="V68" s="1"/>
    </row>
    <row r="69" spans="1:22" ht="12.75">
      <c r="A69" s="90">
        <v>53</v>
      </c>
      <c r="B69" s="201">
        <f>IF(OR(AND(AND(ISNUMBER($C69),ISNUMBER($D69)),COUNTBLANK($E69:$I69)=5),(AND(COUNTBLANK($C69:$D69)=2,(AND(OR(AND(AND(ISBLANK($F69),ISBLANK($G69)),ISNUMBER($E69)),AND(AND(ISNUMBER($F69),ISNUMBER($G69)),ISBLANK($E69))),OR(AND(ISBLANK($H69),ISTEXT($I69)),AND(ISNUMBER($H69),ISBLANK($I69)))))))),"",IF(OR(COUNTBLANK($C69:$I69)&lt;&gt;7,COUNT($C70:$J$116)&lt;&gt;0),"Data ?",""))</f>
      </c>
      <c r="C69" s="195"/>
      <c r="D69" s="195"/>
      <c r="E69" s="196"/>
      <c r="F69" s="195"/>
      <c r="G69" s="195"/>
      <c r="H69" s="195"/>
      <c r="I69" s="195"/>
      <c r="J69" s="197"/>
      <c r="K69" s="1"/>
      <c r="L69" s="185">
        <f t="shared" si="0"/>
      </c>
      <c r="M69" s="186">
        <f t="shared" si="3"/>
      </c>
      <c r="N69" s="187">
        <f t="shared" si="4"/>
      </c>
      <c r="O69" s="188">
        <f t="shared" si="5"/>
      </c>
      <c r="P69" s="187">
        <f t="shared" si="6"/>
      </c>
      <c r="Q69" s="188">
        <f t="shared" si="9"/>
      </c>
      <c r="R69" s="187">
        <f t="shared" si="10"/>
      </c>
      <c r="S69" s="188">
        <f t="shared" si="7"/>
      </c>
      <c r="T69" s="207">
        <f t="shared" si="8"/>
      </c>
      <c r="V69" s="1"/>
    </row>
    <row r="70" spans="1:22" ht="12.75">
      <c r="A70" s="90">
        <v>54</v>
      </c>
      <c r="B70" s="201">
        <f>IF(OR(AND(AND(ISNUMBER($C70),ISNUMBER($D70)),COUNTBLANK($E70:$I70)=5),(AND(COUNTBLANK($C70:$D70)=2,(AND(OR(AND(AND(ISBLANK($F70),ISBLANK($G70)),ISNUMBER($E70)),AND(AND(ISNUMBER($F70),ISNUMBER($G70)),ISBLANK($E70))),OR(AND(ISBLANK($H70),ISTEXT($I70)),AND(ISNUMBER($H70),ISBLANK($I70)))))))),"",IF(OR(COUNTBLANK($C70:$I70)&lt;&gt;7,COUNT($C71:$J$116)&lt;&gt;0),"Data ?",""))</f>
      </c>
      <c r="C70" s="195"/>
      <c r="D70" s="195"/>
      <c r="E70" s="196"/>
      <c r="F70" s="195"/>
      <c r="G70" s="195"/>
      <c r="H70" s="195"/>
      <c r="I70" s="195"/>
      <c r="J70" s="197"/>
      <c r="K70" s="1"/>
      <c r="L70" s="185">
        <f t="shared" si="0"/>
      </c>
      <c r="M70" s="186">
        <f t="shared" si="3"/>
      </c>
      <c r="N70" s="187">
        <f t="shared" si="4"/>
      </c>
      <c r="O70" s="188">
        <f t="shared" si="5"/>
      </c>
      <c r="P70" s="187">
        <f t="shared" si="6"/>
      </c>
      <c r="Q70" s="188">
        <f t="shared" si="9"/>
      </c>
      <c r="R70" s="187">
        <f t="shared" si="10"/>
      </c>
      <c r="S70" s="188">
        <f t="shared" si="7"/>
      </c>
      <c r="T70" s="207">
        <f t="shared" si="8"/>
      </c>
      <c r="V70" s="1"/>
    </row>
    <row r="71" spans="1:22" ht="12.75">
      <c r="A71" s="90">
        <v>55</v>
      </c>
      <c r="B71" s="201">
        <f>IF(OR(AND(AND(ISNUMBER($C71),ISNUMBER($D71)),COUNTBLANK($E71:$I71)=5),(AND(COUNTBLANK($C71:$D71)=2,(AND(OR(AND(AND(ISBLANK($F71),ISBLANK($G71)),ISNUMBER($E71)),AND(AND(ISNUMBER($F71),ISNUMBER($G71)),ISBLANK($E71))),OR(AND(ISBLANK($H71),ISTEXT($I71)),AND(ISNUMBER($H71),ISBLANK($I71)))))))),"",IF(OR(COUNTBLANK($C71:$I71)&lt;&gt;7,COUNT($C72:$J$116)&lt;&gt;0),"Data ?",""))</f>
      </c>
      <c r="C71" s="195"/>
      <c r="D71" s="195"/>
      <c r="E71" s="196"/>
      <c r="F71" s="195"/>
      <c r="G71" s="195"/>
      <c r="H71" s="195"/>
      <c r="I71" s="195"/>
      <c r="J71" s="197"/>
      <c r="K71" s="1"/>
      <c r="L71" s="185">
        <f t="shared" si="0"/>
      </c>
      <c r="M71" s="186">
        <f t="shared" si="3"/>
      </c>
      <c r="N71" s="187">
        <f t="shared" si="4"/>
      </c>
      <c r="O71" s="188">
        <f t="shared" si="5"/>
      </c>
      <c r="P71" s="187">
        <f t="shared" si="6"/>
      </c>
      <c r="Q71" s="188">
        <f t="shared" si="9"/>
      </c>
      <c r="R71" s="187">
        <f t="shared" si="10"/>
      </c>
      <c r="S71" s="188">
        <f t="shared" si="7"/>
      </c>
      <c r="T71" s="207">
        <f t="shared" si="8"/>
      </c>
      <c r="V71" s="1"/>
    </row>
    <row r="72" spans="1:22" ht="12.75">
      <c r="A72" s="90">
        <v>56</v>
      </c>
      <c r="B72" s="201">
        <f>IF(OR(AND(AND(ISNUMBER($C72),ISNUMBER($D72)),COUNTBLANK($E72:$I72)=5),(AND(COUNTBLANK($C72:$D72)=2,(AND(OR(AND(AND(ISBLANK($F72),ISBLANK($G72)),ISNUMBER($E72)),AND(AND(ISNUMBER($F72),ISNUMBER($G72)),ISBLANK($E72))),OR(AND(ISBLANK($H72),ISTEXT($I72)),AND(ISNUMBER($H72),ISBLANK($I72)))))))),"",IF(OR(COUNTBLANK($C72:$I72)&lt;&gt;7,COUNT($C73:$J$116)&lt;&gt;0),"Data ?",""))</f>
      </c>
      <c r="C72" s="195"/>
      <c r="D72" s="195"/>
      <c r="E72" s="196"/>
      <c r="F72" s="195"/>
      <c r="G72" s="195"/>
      <c r="H72" s="195"/>
      <c r="I72" s="195"/>
      <c r="J72" s="197"/>
      <c r="K72" s="1"/>
      <c r="L72" s="185">
        <f t="shared" si="0"/>
      </c>
      <c r="M72" s="186">
        <f t="shared" si="3"/>
      </c>
      <c r="N72" s="187">
        <f t="shared" si="4"/>
      </c>
      <c r="O72" s="188">
        <f t="shared" si="5"/>
      </c>
      <c r="P72" s="187">
        <f t="shared" si="6"/>
      </c>
      <c r="Q72" s="188">
        <f t="shared" si="9"/>
      </c>
      <c r="R72" s="187">
        <f t="shared" si="10"/>
      </c>
      <c r="S72" s="188">
        <f t="shared" si="7"/>
      </c>
      <c r="T72" s="207">
        <f t="shared" si="8"/>
      </c>
      <c r="V72" s="1"/>
    </row>
    <row r="73" spans="1:22" ht="12.75">
      <c r="A73" s="90">
        <v>57</v>
      </c>
      <c r="B73" s="201">
        <f>IF(OR(AND(AND(ISNUMBER($C73),ISNUMBER($D73)),COUNTBLANK($E73:$I73)=5),(AND(COUNTBLANK($C73:$D73)=2,(AND(OR(AND(AND(ISBLANK($F73),ISBLANK($G73)),ISNUMBER($E73)),AND(AND(ISNUMBER($F73),ISNUMBER($G73)),ISBLANK($E73))),OR(AND(ISBLANK($H73),ISTEXT($I73)),AND(ISNUMBER($H73),ISBLANK($I73)))))))),"",IF(OR(COUNTBLANK($C73:$I73)&lt;&gt;7,COUNT($C74:$J$116)&lt;&gt;0),"Data ?",""))</f>
      </c>
      <c r="C73" s="195"/>
      <c r="D73" s="195"/>
      <c r="E73" s="196"/>
      <c r="F73" s="195"/>
      <c r="G73" s="195"/>
      <c r="H73" s="195"/>
      <c r="I73" s="195"/>
      <c r="J73" s="197"/>
      <c r="K73" s="1"/>
      <c r="L73" s="185">
        <f t="shared" si="0"/>
      </c>
      <c r="M73" s="186">
        <f t="shared" si="3"/>
      </c>
      <c r="N73" s="187">
        <f t="shared" si="4"/>
      </c>
      <c r="O73" s="188">
        <f t="shared" si="5"/>
      </c>
      <c r="P73" s="187">
        <f t="shared" si="6"/>
      </c>
      <c r="Q73" s="188">
        <f t="shared" si="9"/>
      </c>
      <c r="R73" s="187">
        <f t="shared" si="10"/>
      </c>
      <c r="S73" s="188">
        <f t="shared" si="7"/>
      </c>
      <c r="T73" s="207">
        <f t="shared" si="8"/>
      </c>
      <c r="V73" s="1"/>
    </row>
    <row r="74" spans="1:22" ht="12.75">
      <c r="A74" s="90">
        <v>58</v>
      </c>
      <c r="B74" s="201">
        <f>IF(OR(AND(AND(ISNUMBER($C74),ISNUMBER($D74)),COUNTBLANK($E74:$I74)=5),(AND(COUNTBLANK($C74:$D74)=2,(AND(OR(AND(AND(ISBLANK($F74),ISBLANK($G74)),ISNUMBER($E74)),AND(AND(ISNUMBER($F74),ISNUMBER($G74)),ISBLANK($E74))),OR(AND(ISBLANK($H74),ISTEXT($I74)),AND(ISNUMBER($H74),ISBLANK($I74)))))))),"",IF(OR(COUNTBLANK($C74:$I74)&lt;&gt;7,COUNT($C75:$J$116)&lt;&gt;0),"Data ?",""))</f>
      </c>
      <c r="C74" s="195"/>
      <c r="D74" s="195"/>
      <c r="E74" s="196"/>
      <c r="F74" s="195"/>
      <c r="G74" s="195"/>
      <c r="H74" s="195"/>
      <c r="I74" s="195"/>
      <c r="J74" s="197"/>
      <c r="K74" s="1"/>
      <c r="L74" s="185">
        <f t="shared" si="0"/>
      </c>
      <c r="M74" s="186">
        <f t="shared" si="3"/>
      </c>
      <c r="N74" s="187">
        <f t="shared" si="4"/>
      </c>
      <c r="O74" s="188">
        <f t="shared" si="5"/>
      </c>
      <c r="P74" s="187">
        <f t="shared" si="6"/>
      </c>
      <c r="Q74" s="188">
        <f t="shared" si="9"/>
      </c>
      <c r="R74" s="187">
        <f t="shared" si="10"/>
      </c>
      <c r="S74" s="188">
        <f t="shared" si="7"/>
      </c>
      <c r="T74" s="207">
        <f t="shared" si="8"/>
      </c>
      <c r="V74" s="1"/>
    </row>
    <row r="75" spans="1:22" ht="12.75">
      <c r="A75" s="90">
        <v>59</v>
      </c>
      <c r="B75" s="201">
        <f>IF(OR(AND(AND(ISNUMBER($C75),ISNUMBER($D75)),COUNTBLANK($E75:$I75)=5),(AND(COUNTBLANK($C75:$D75)=2,(AND(OR(AND(AND(ISBLANK($F75),ISBLANK($G75)),ISNUMBER($E75)),AND(AND(ISNUMBER($F75),ISNUMBER($G75)),ISBLANK($E75))),OR(AND(ISBLANK($H75),ISTEXT($I75)),AND(ISNUMBER($H75),ISBLANK($I75)))))))),"",IF(OR(COUNTBLANK($C75:$I75)&lt;&gt;7,COUNT($C76:$J$116)&lt;&gt;0),"Data ?",""))</f>
      </c>
      <c r="C75" s="195"/>
      <c r="D75" s="195"/>
      <c r="E75" s="196"/>
      <c r="F75" s="195"/>
      <c r="G75" s="195"/>
      <c r="H75" s="195"/>
      <c r="I75" s="195"/>
      <c r="J75" s="197"/>
      <c r="K75" s="1"/>
      <c r="L75" s="185">
        <f t="shared" si="0"/>
      </c>
      <c r="M75" s="186">
        <f t="shared" si="3"/>
      </c>
      <c r="N75" s="187">
        <f t="shared" si="4"/>
      </c>
      <c r="O75" s="188">
        <f t="shared" si="5"/>
      </c>
      <c r="P75" s="187">
        <f t="shared" si="6"/>
      </c>
      <c r="Q75" s="188">
        <f t="shared" si="9"/>
      </c>
      <c r="R75" s="187">
        <f t="shared" si="10"/>
      </c>
      <c r="S75" s="188">
        <f t="shared" si="7"/>
      </c>
      <c r="T75" s="207">
        <f t="shared" si="8"/>
      </c>
      <c r="V75" s="1"/>
    </row>
    <row r="76" spans="1:22" ht="12.75">
      <c r="A76" s="90">
        <v>60</v>
      </c>
      <c r="B76" s="201">
        <f>IF(OR(AND(AND(ISNUMBER($C76),ISNUMBER($D76)),COUNTBLANK($E76:$I76)=5),(AND(COUNTBLANK($C76:$D76)=2,(AND(OR(AND(AND(ISBLANK($F76),ISBLANK($G76)),ISNUMBER($E76)),AND(AND(ISNUMBER($F76),ISNUMBER($G76)),ISBLANK($E76))),OR(AND(ISBLANK($H76),ISTEXT($I76)),AND(ISNUMBER($H76),ISBLANK($I76)))))))),"",IF(OR(COUNTBLANK($C76:$I76)&lt;&gt;7,COUNT($C77:$J$116)&lt;&gt;0),"Data ?",""))</f>
      </c>
      <c r="C76" s="195"/>
      <c r="D76" s="195"/>
      <c r="E76" s="196"/>
      <c r="F76" s="195"/>
      <c r="G76" s="195"/>
      <c r="H76" s="195"/>
      <c r="I76" s="195"/>
      <c r="J76" s="197"/>
      <c r="K76" s="1"/>
      <c r="L76" s="185">
        <f t="shared" si="0"/>
      </c>
      <c r="M76" s="186">
        <f t="shared" si="3"/>
      </c>
      <c r="N76" s="187">
        <f t="shared" si="4"/>
      </c>
      <c r="O76" s="188">
        <f t="shared" si="5"/>
      </c>
      <c r="P76" s="187">
        <f t="shared" si="6"/>
      </c>
      <c r="Q76" s="188">
        <f t="shared" si="9"/>
      </c>
      <c r="R76" s="187">
        <f t="shared" si="10"/>
      </c>
      <c r="S76" s="188">
        <f t="shared" si="7"/>
      </c>
      <c r="T76" s="207">
        <f t="shared" si="8"/>
      </c>
      <c r="V76" s="1"/>
    </row>
    <row r="77" spans="1:22" ht="12.75">
      <c r="A77" s="90">
        <v>61</v>
      </c>
      <c r="B77" s="201">
        <f>IF(OR(AND(AND(ISNUMBER($C77),ISNUMBER($D77)),COUNTBLANK($E77:$I77)=5),(AND(COUNTBLANK($C77:$D77)=2,(AND(OR(AND(AND(ISBLANK($F77),ISBLANK($G77)),ISNUMBER($E77)),AND(AND(ISNUMBER($F77),ISNUMBER($G77)),ISBLANK($E77))),OR(AND(ISBLANK($H77),ISTEXT($I77)),AND(ISNUMBER($H77),ISBLANK($I77)))))))),"",IF(OR(COUNTBLANK($C77:$I77)&lt;&gt;7,COUNT($C78:$J$116)&lt;&gt;0),"Data ?",""))</f>
      </c>
      <c r="C77" s="195"/>
      <c r="D77" s="195"/>
      <c r="E77" s="196"/>
      <c r="F77" s="195"/>
      <c r="G77" s="195"/>
      <c r="H77" s="195"/>
      <c r="I77" s="195"/>
      <c r="J77" s="197"/>
      <c r="K77" s="1"/>
      <c r="L77" s="185">
        <f t="shared" si="0"/>
      </c>
      <c r="M77" s="186">
        <f t="shared" si="3"/>
      </c>
      <c r="N77" s="187">
        <f t="shared" si="4"/>
      </c>
      <c r="O77" s="188">
        <f t="shared" si="5"/>
      </c>
      <c r="P77" s="187">
        <f t="shared" si="6"/>
      </c>
      <c r="Q77" s="188">
        <f t="shared" si="9"/>
      </c>
      <c r="R77" s="187">
        <f t="shared" si="10"/>
      </c>
      <c r="S77" s="188">
        <f t="shared" si="7"/>
      </c>
      <c r="T77" s="207">
        <f t="shared" si="8"/>
      </c>
      <c r="V77" s="1"/>
    </row>
    <row r="78" spans="1:22" ht="12.75">
      <c r="A78" s="90">
        <v>62</v>
      </c>
      <c r="B78" s="201">
        <f>IF(OR(AND(AND(ISNUMBER($C78),ISNUMBER($D78)),COUNTBLANK($E78:$I78)=5),(AND(COUNTBLANK($C78:$D78)=2,(AND(OR(AND(AND(ISBLANK($F78),ISBLANK($G78)),ISNUMBER($E78)),AND(AND(ISNUMBER($F78),ISNUMBER($G78)),ISBLANK($E78))),OR(AND(ISBLANK($H78),ISTEXT($I78)),AND(ISNUMBER($H78),ISBLANK($I78)))))))),"",IF(OR(COUNTBLANK($C78:$I78)&lt;&gt;7,COUNT($C79:$J$116)&lt;&gt;0),"Data ?",""))</f>
      </c>
      <c r="C78" s="195"/>
      <c r="D78" s="195"/>
      <c r="E78" s="196"/>
      <c r="F78" s="195"/>
      <c r="G78" s="195"/>
      <c r="H78" s="195"/>
      <c r="I78" s="195"/>
      <c r="J78" s="197"/>
      <c r="K78" s="1"/>
      <c r="L78" s="185">
        <f t="shared" si="0"/>
      </c>
      <c r="M78" s="186">
        <f t="shared" si="3"/>
      </c>
      <c r="N78" s="187">
        <f t="shared" si="4"/>
      </c>
      <c r="O78" s="188">
        <f t="shared" si="5"/>
      </c>
      <c r="P78" s="187">
        <f t="shared" si="6"/>
      </c>
      <c r="Q78" s="188">
        <f t="shared" si="9"/>
      </c>
      <c r="R78" s="187">
        <f t="shared" si="10"/>
      </c>
      <c r="S78" s="188">
        <f t="shared" si="7"/>
      </c>
      <c r="T78" s="207">
        <f t="shared" si="8"/>
      </c>
      <c r="V78" s="1"/>
    </row>
    <row r="79" spans="1:22" ht="12.75">
      <c r="A79" s="90">
        <v>63</v>
      </c>
      <c r="B79" s="201">
        <f>IF(OR(AND(AND(ISNUMBER($C79),ISNUMBER($D79)),COUNTBLANK($E79:$I79)=5),(AND(COUNTBLANK($C79:$D79)=2,(AND(OR(AND(AND(ISBLANK($F79),ISBLANK($G79)),ISNUMBER($E79)),AND(AND(ISNUMBER($F79),ISNUMBER($G79)),ISBLANK($E79))),OR(AND(ISBLANK($H79),ISTEXT($I79)),AND(ISNUMBER($H79),ISBLANK($I79)))))))),"",IF(OR(COUNTBLANK($C79:$I79)&lt;&gt;7,COUNT($C80:$J$116)&lt;&gt;0),"Data ?",""))</f>
      </c>
      <c r="C79" s="195"/>
      <c r="D79" s="195"/>
      <c r="E79" s="196"/>
      <c r="F79" s="195"/>
      <c r="G79" s="195"/>
      <c r="H79" s="195"/>
      <c r="I79" s="195"/>
      <c r="J79" s="197"/>
      <c r="K79" s="1"/>
      <c r="L79" s="185">
        <f t="shared" si="0"/>
      </c>
      <c r="M79" s="186">
        <f t="shared" si="3"/>
      </c>
      <c r="N79" s="187">
        <f t="shared" si="4"/>
      </c>
      <c r="O79" s="188">
        <f t="shared" si="5"/>
      </c>
      <c r="P79" s="187">
        <f t="shared" si="6"/>
      </c>
      <c r="Q79" s="188">
        <f t="shared" si="9"/>
      </c>
      <c r="R79" s="187">
        <f t="shared" si="10"/>
      </c>
      <c r="S79" s="188">
        <f t="shared" si="7"/>
      </c>
      <c r="T79" s="207">
        <f t="shared" si="8"/>
      </c>
      <c r="V79" s="1"/>
    </row>
    <row r="80" spans="1:22" ht="12.75">
      <c r="A80" s="90">
        <v>64</v>
      </c>
      <c r="B80" s="201">
        <f>IF(OR(AND(AND(ISNUMBER($C80),ISNUMBER($D80)),COUNTBLANK($E80:$I80)=5),(AND(COUNTBLANK($C80:$D80)=2,(AND(OR(AND(AND(ISBLANK($F80),ISBLANK($G80)),ISNUMBER($E80)),AND(AND(ISNUMBER($F80),ISNUMBER($G80)),ISBLANK($E80))),OR(AND(ISBLANK($H80),ISTEXT($I80)),AND(ISNUMBER($H80),ISBLANK($I80)))))))),"",IF(OR(COUNTBLANK($C80:$I80)&lt;&gt;7,COUNT($C81:$J$116)&lt;&gt;0),"Data ?",""))</f>
      </c>
      <c r="C80" s="195"/>
      <c r="D80" s="195"/>
      <c r="E80" s="196"/>
      <c r="F80" s="195"/>
      <c r="G80" s="195"/>
      <c r="H80" s="195"/>
      <c r="I80" s="195"/>
      <c r="J80" s="197"/>
      <c r="K80" s="1"/>
      <c r="L80" s="185">
        <f t="shared" si="0"/>
      </c>
      <c r="M80" s="186">
        <f t="shared" si="3"/>
      </c>
      <c r="N80" s="187">
        <f t="shared" si="4"/>
      </c>
      <c r="O80" s="188">
        <f t="shared" si="5"/>
      </c>
      <c r="P80" s="187">
        <f t="shared" si="6"/>
      </c>
      <c r="Q80" s="188">
        <f t="shared" si="9"/>
      </c>
      <c r="R80" s="187">
        <f t="shared" si="10"/>
      </c>
      <c r="S80" s="188">
        <f t="shared" si="7"/>
      </c>
      <c r="T80" s="207">
        <f t="shared" si="8"/>
      </c>
      <c r="V80" s="1"/>
    </row>
    <row r="81" spans="1:22" ht="12.75">
      <c r="A81" s="90">
        <v>65</v>
      </c>
      <c r="B81" s="201">
        <f>IF(OR(AND(AND(ISNUMBER($C81),ISNUMBER($D81)),COUNTBLANK($E81:$I81)=5),(AND(COUNTBLANK($C81:$D81)=2,(AND(OR(AND(AND(ISBLANK($F81),ISBLANK($G81)),ISNUMBER($E81)),AND(AND(ISNUMBER($F81),ISNUMBER($G81)),ISBLANK($E81))),OR(AND(ISBLANK($H81),ISTEXT($I81)),AND(ISNUMBER($H81),ISBLANK($I81)))))))),"",IF(OR(COUNTBLANK($C81:$I81)&lt;&gt;7,COUNT($C82:$J$116)&lt;&gt;0),"Data ?",""))</f>
      </c>
      <c r="C81" s="195"/>
      <c r="D81" s="195"/>
      <c r="E81" s="196"/>
      <c r="F81" s="195"/>
      <c r="G81" s="195"/>
      <c r="H81" s="195"/>
      <c r="I81" s="195"/>
      <c r="J81" s="197"/>
      <c r="K81" s="1"/>
      <c r="L81" s="185">
        <f aca="true" t="shared" si="11" ref="L81:L116">IF(OR(B81&lt;&gt;"",L80=""),"",IF(AND(ISNUMBER(C81),ISNUMBER(D81)),SQRT((C81-Q80)^2+(D81-R80)^2),IF(AND(AND(ISNUMBER(E81),OR(H81&lt;&gt;"",I81&lt;&gt;"")),L80&lt;&gt;""),E81,IF(AND(AND(AND(F81&lt;&gt;"",G81&lt;&gt;""),OR(H81&lt;&gt;"",I81&lt;&gt;"")),L80&lt;&gt;""),(F81*COS(ATAN(G81/100))),""))))</f>
      </c>
      <c r="M81" s="186">
        <f t="shared" si="3"/>
      </c>
      <c r="N81" s="187">
        <f t="shared" si="4"/>
      </c>
      <c r="O81" s="188">
        <f t="shared" si="5"/>
      </c>
      <c r="P81" s="187">
        <f t="shared" si="6"/>
      </c>
      <c r="Q81" s="188">
        <f aca="true" t="shared" si="12" ref="Q81:Q116">IF(L81="","",IF(AND(ISNUMBER(C81),ISNUMBER(D81)),C81,IF(ISERROR(Q80+O81),"",(Q80+O81))))</f>
      </c>
      <c r="R81" s="187">
        <f aca="true" t="shared" si="13" ref="R81:R116">IF(L81="","",IF(AND(ISNUMBER(C81),ISNUMBER(D81)),D81,IF(ISERROR(R80+P81),"",(R80+P81))))</f>
      </c>
      <c r="S81" s="188">
        <f t="shared" si="7"/>
      </c>
      <c r="T81" s="207">
        <f t="shared" si="8"/>
      </c>
      <c r="V81" s="1"/>
    </row>
    <row r="82" spans="1:22" ht="12.75">
      <c r="A82" s="90">
        <v>66</v>
      </c>
      <c r="B82" s="201">
        <f>IF(OR(AND(AND(ISNUMBER($C82),ISNUMBER($D82)),COUNTBLANK($E82:$I82)=5),(AND(COUNTBLANK($C82:$D82)=2,(AND(OR(AND(AND(ISBLANK($F82),ISBLANK($G82)),ISNUMBER($E82)),AND(AND(ISNUMBER($F82),ISNUMBER($G82)),ISBLANK($E82))),OR(AND(ISBLANK($H82),ISTEXT($I82)),AND(ISNUMBER($H82),ISBLANK($I82)))))))),"",IF(OR(COUNTBLANK($C82:$I82)&lt;&gt;7,COUNT($C83:$J$116)&lt;&gt;0),"Data ?",""))</f>
      </c>
      <c r="C82" s="195"/>
      <c r="D82" s="195"/>
      <c r="E82" s="196"/>
      <c r="F82" s="195"/>
      <c r="G82" s="195"/>
      <c r="H82" s="195"/>
      <c r="I82" s="195"/>
      <c r="J82" s="197"/>
      <c r="K82" s="1"/>
      <c r="L82" s="185">
        <f t="shared" si="11"/>
      </c>
      <c r="M82" s="186">
        <f aca="true" t="shared" si="14" ref="M82:M116">IF(OR(L82="",COUNTBLANK(H82:I82)=2),"",IF(ISNUMBER(H82),H82,IF(AND(LEFT(I82,1)="S",RIGHT(I82,1)="E"),180-MID(I82,2,LEN(I82)-2),IF(AND(LEFT(I82,1)="S",RIGHT(I82,1)="W"),180+MID(I82,2,LEN(I82)-2),IF(AND(LEFT(I82,1)="N",RIGHT(I82,1)="W"),360-MID(I82,2,LEN(I82)-2),VALUE(MID(I82,2,LEN(I82)-2)))))))</f>
      </c>
      <c r="N82" s="187">
        <f aca="true" t="shared" si="15" ref="N82:N116">IF(OR(L82="",ISNUMBER(M82)),"",IF(OR(AND($O82&gt;0,$P82&gt;0),AND($O82&gt;0,$P82&lt;0)),(90-ATAN($P82/$O82)*180/PI())-(360*(INT((90-ATAN($P82/$O82)*180/PI())/360))),(IF(OR(AND($O82&lt;0,$P82&gt;0),AND($O82&lt;0,$P82&lt;0)),(180-ATAN($P82/$O82)*180/PI()+90)-(360*(INT((180-ATAN($P82/$O82)*180/PI()+90)/360))),IF($O82=0,90-90*SIGN($P82),IF($P82=0,180-90*SIGN($O82),"Error"))))))</f>
      </c>
      <c r="O82" s="188">
        <f aca="true" t="shared" si="16" ref="O82:O116">IF(L82="","",IF(AND(ISNUMBER(C82),ISNUMBER(D82)),Q82-Q81,IF(OR(ISERROR($L82*COS((360-$M82+90)*PI()/180)),O81=""),"",($L82*COS(((360-$M82)+90)*PI()/180)))))</f>
      </c>
      <c r="P82" s="187">
        <f aca="true" t="shared" si="17" ref="P82:P116">IF(L82="","",IF(AND(ISNUMBER(C82),ISNUMBER(D82)),R82-R81,IF(OR(ISERROR($L82*SIN(((360-$B$6)-$M82+90)*PI()/180)),P81=""),"",($L82*SIN(((360-$M82)+90)*PI()/180)))))</f>
      </c>
      <c r="Q82" s="188">
        <f t="shared" si="12"/>
      </c>
      <c r="R82" s="187">
        <f t="shared" si="13"/>
      </c>
      <c r="S82" s="188">
        <f aca="true" t="shared" si="18" ref="S82:S116">IF($L82="","",IF(ISNUMBER($M82),IF(OR(ISERROR($S81+$L82*COS(((360-$B$6)-$M82+90)*PI()/180)),S81=""),"",($S81+$L82*COS(((360-$B$6)-$M82+90)*PI()/180))),IF(ISNUMBER($N82),IF(OR(ISERROR($S81+$L82*COS(((360-$B$6)-$N82+90)*PI()/180)),S81=""),"",($S81+$L82*COS(((360-$B$6)-$N82+90)*PI()/180))))))</f>
      </c>
      <c r="T82" s="207">
        <f aca="true" t="shared" si="19" ref="T82:T116">IF($L82="","",IF(ISNUMBER($M82),IF(OR(ISERROR($T81+$L82*SIN(((360-$B$6)-$M82+90)*PI()/180)),T81=""),"",($T81+$L82*SIN(((360-$B$6)-$M82+90)*PI()/180))),IF(ISNUMBER($N82),IF(OR(ISERROR($T81+$L82*SIN(((360-$B$6)-$N82+90)*PI()/180)),T81=""),"",($T81+$L82*SIN(((360-$B$6)-$N82+90)*PI()/180))))))</f>
      </c>
      <c r="V82" s="1"/>
    </row>
    <row r="83" spans="1:22" ht="12.75">
      <c r="A83" s="90">
        <v>67</v>
      </c>
      <c r="B83" s="201">
        <f>IF(OR(AND(AND(ISNUMBER($C83),ISNUMBER($D83)),COUNTBLANK($E83:$I83)=5),(AND(COUNTBLANK($C83:$D83)=2,(AND(OR(AND(AND(ISBLANK($F83),ISBLANK($G83)),ISNUMBER($E83)),AND(AND(ISNUMBER($F83),ISNUMBER($G83)),ISBLANK($E83))),OR(AND(ISBLANK($H83),ISTEXT($I83)),AND(ISNUMBER($H83),ISBLANK($I83)))))))),"",IF(OR(COUNTBLANK($C83:$I83)&lt;&gt;7,COUNT($C84:$J$116)&lt;&gt;0),"Data ?",""))</f>
      </c>
      <c r="C83" s="195"/>
      <c r="D83" s="195"/>
      <c r="E83" s="196"/>
      <c r="F83" s="195"/>
      <c r="G83" s="195"/>
      <c r="H83" s="195"/>
      <c r="I83" s="195"/>
      <c r="J83" s="197"/>
      <c r="K83" s="1"/>
      <c r="L83" s="185">
        <f t="shared" si="11"/>
      </c>
      <c r="M83" s="186">
        <f t="shared" si="14"/>
      </c>
      <c r="N83" s="187">
        <f t="shared" si="15"/>
      </c>
      <c r="O83" s="188">
        <f t="shared" si="16"/>
      </c>
      <c r="P83" s="187">
        <f t="shared" si="17"/>
      </c>
      <c r="Q83" s="188">
        <f t="shared" si="12"/>
      </c>
      <c r="R83" s="187">
        <f t="shared" si="13"/>
      </c>
      <c r="S83" s="188">
        <f t="shared" si="18"/>
      </c>
      <c r="T83" s="207">
        <f t="shared" si="19"/>
      </c>
      <c r="V83" s="1"/>
    </row>
    <row r="84" spans="1:22" ht="12.75">
      <c r="A84" s="90">
        <v>68</v>
      </c>
      <c r="B84" s="201">
        <f>IF(OR(AND(AND(ISNUMBER($C84),ISNUMBER($D84)),COUNTBLANK($E84:$I84)=5),(AND(COUNTBLANK($C84:$D84)=2,(AND(OR(AND(AND(ISBLANK($F84),ISBLANK($G84)),ISNUMBER($E84)),AND(AND(ISNUMBER($F84),ISNUMBER($G84)),ISBLANK($E84))),OR(AND(ISBLANK($H84),ISTEXT($I84)),AND(ISNUMBER($H84),ISBLANK($I84)))))))),"",IF(OR(COUNTBLANK($C84:$I84)&lt;&gt;7,COUNT($C85:$J$116)&lt;&gt;0),"Data ?",""))</f>
      </c>
      <c r="C84" s="195"/>
      <c r="D84" s="195"/>
      <c r="E84" s="196"/>
      <c r="F84" s="195"/>
      <c r="G84" s="195"/>
      <c r="H84" s="195"/>
      <c r="I84" s="195"/>
      <c r="J84" s="197"/>
      <c r="K84" s="1"/>
      <c r="L84" s="185">
        <f t="shared" si="11"/>
      </c>
      <c r="M84" s="186">
        <f t="shared" si="14"/>
      </c>
      <c r="N84" s="187">
        <f t="shared" si="15"/>
      </c>
      <c r="O84" s="188">
        <f t="shared" si="16"/>
      </c>
      <c r="P84" s="187">
        <f t="shared" si="17"/>
      </c>
      <c r="Q84" s="188">
        <f t="shared" si="12"/>
      </c>
      <c r="R84" s="187">
        <f t="shared" si="13"/>
      </c>
      <c r="S84" s="188">
        <f t="shared" si="18"/>
      </c>
      <c r="T84" s="207">
        <f t="shared" si="19"/>
      </c>
      <c r="V84" s="1"/>
    </row>
    <row r="85" spans="1:22" ht="12.75">
      <c r="A85" s="90">
        <v>69</v>
      </c>
      <c r="B85" s="201">
        <f>IF(OR(AND(AND(ISNUMBER($C85),ISNUMBER($D85)),COUNTBLANK($E85:$I85)=5),(AND(COUNTBLANK($C85:$D85)=2,(AND(OR(AND(AND(ISBLANK($F85),ISBLANK($G85)),ISNUMBER($E85)),AND(AND(ISNUMBER($F85),ISNUMBER($G85)),ISBLANK($E85))),OR(AND(ISBLANK($H85),ISTEXT($I85)),AND(ISNUMBER($H85),ISBLANK($I85)))))))),"",IF(OR(COUNTBLANK($C85:$I85)&lt;&gt;7,COUNT($C86:$J$116)&lt;&gt;0),"Data ?",""))</f>
      </c>
      <c r="C85" s="195"/>
      <c r="D85" s="195"/>
      <c r="E85" s="196"/>
      <c r="F85" s="195"/>
      <c r="G85" s="195"/>
      <c r="H85" s="195"/>
      <c r="I85" s="195"/>
      <c r="J85" s="197"/>
      <c r="K85" s="1"/>
      <c r="L85" s="185">
        <f t="shared" si="11"/>
      </c>
      <c r="M85" s="186">
        <f t="shared" si="14"/>
      </c>
      <c r="N85" s="187">
        <f t="shared" si="15"/>
      </c>
      <c r="O85" s="188">
        <f t="shared" si="16"/>
      </c>
      <c r="P85" s="187">
        <f t="shared" si="17"/>
      </c>
      <c r="Q85" s="188">
        <f t="shared" si="12"/>
      </c>
      <c r="R85" s="187">
        <f t="shared" si="13"/>
      </c>
      <c r="S85" s="188">
        <f t="shared" si="18"/>
      </c>
      <c r="T85" s="207">
        <f t="shared" si="19"/>
      </c>
      <c r="V85" s="1"/>
    </row>
    <row r="86" spans="1:22" ht="12.75">
      <c r="A86" s="90">
        <v>70</v>
      </c>
      <c r="B86" s="201">
        <f>IF(OR(AND(AND(ISNUMBER($C86),ISNUMBER($D86)),COUNTBLANK($E86:$I86)=5),(AND(COUNTBLANK($C86:$D86)=2,(AND(OR(AND(AND(ISBLANK($F86),ISBLANK($G86)),ISNUMBER($E86)),AND(AND(ISNUMBER($F86),ISNUMBER($G86)),ISBLANK($E86))),OR(AND(ISBLANK($H86),ISTEXT($I86)),AND(ISNUMBER($H86),ISBLANK($I86)))))))),"",IF(OR(COUNTBLANK($C86:$I86)&lt;&gt;7,COUNT($C87:$J$116)&lt;&gt;0),"Data ?",""))</f>
      </c>
      <c r="C86" s="195"/>
      <c r="D86" s="195"/>
      <c r="E86" s="196"/>
      <c r="F86" s="195"/>
      <c r="G86" s="195"/>
      <c r="H86" s="195"/>
      <c r="I86" s="195"/>
      <c r="J86" s="197"/>
      <c r="K86" s="1"/>
      <c r="L86" s="185">
        <f t="shared" si="11"/>
      </c>
      <c r="M86" s="186">
        <f t="shared" si="14"/>
      </c>
      <c r="N86" s="187">
        <f t="shared" si="15"/>
      </c>
      <c r="O86" s="188">
        <f t="shared" si="16"/>
      </c>
      <c r="P86" s="187">
        <f t="shared" si="17"/>
      </c>
      <c r="Q86" s="188">
        <f t="shared" si="12"/>
      </c>
      <c r="R86" s="187">
        <f t="shared" si="13"/>
      </c>
      <c r="S86" s="188">
        <f t="shared" si="18"/>
      </c>
      <c r="T86" s="207">
        <f t="shared" si="19"/>
      </c>
      <c r="V86" s="1"/>
    </row>
    <row r="87" spans="1:22" ht="12.75">
      <c r="A87" s="90">
        <v>71</v>
      </c>
      <c r="B87" s="201">
        <f>IF(OR(AND(AND(ISNUMBER($C87),ISNUMBER($D87)),COUNTBLANK($E87:$I87)=5),(AND(COUNTBLANK($C87:$D87)=2,(AND(OR(AND(AND(ISBLANK($F87),ISBLANK($G87)),ISNUMBER($E87)),AND(AND(ISNUMBER($F87),ISNUMBER($G87)),ISBLANK($E87))),OR(AND(ISBLANK($H87),ISTEXT($I87)),AND(ISNUMBER($H87),ISBLANK($I87)))))))),"",IF(OR(COUNTBLANK($C87:$I87)&lt;&gt;7,COUNT($C88:$J$116)&lt;&gt;0),"Data ?",""))</f>
      </c>
      <c r="C87" s="195"/>
      <c r="D87" s="195"/>
      <c r="E87" s="196"/>
      <c r="F87" s="195"/>
      <c r="G87" s="195"/>
      <c r="H87" s="195"/>
      <c r="I87" s="195"/>
      <c r="J87" s="197"/>
      <c r="K87" s="1"/>
      <c r="L87" s="185">
        <f t="shared" si="11"/>
      </c>
      <c r="M87" s="186">
        <f t="shared" si="14"/>
      </c>
      <c r="N87" s="187">
        <f t="shared" si="15"/>
      </c>
      <c r="O87" s="188">
        <f t="shared" si="16"/>
      </c>
      <c r="P87" s="187">
        <f t="shared" si="17"/>
      </c>
      <c r="Q87" s="188">
        <f t="shared" si="12"/>
      </c>
      <c r="R87" s="187">
        <f t="shared" si="13"/>
      </c>
      <c r="S87" s="188">
        <f t="shared" si="18"/>
      </c>
      <c r="T87" s="207">
        <f t="shared" si="19"/>
      </c>
      <c r="V87" s="1"/>
    </row>
    <row r="88" spans="1:22" ht="12.75">
      <c r="A88" s="90">
        <v>72</v>
      </c>
      <c r="B88" s="201">
        <f>IF(OR(AND(AND(ISNUMBER($C88),ISNUMBER($D88)),COUNTBLANK($E88:$I88)=5),(AND(COUNTBLANK($C88:$D88)=2,(AND(OR(AND(AND(ISBLANK($F88),ISBLANK($G88)),ISNUMBER($E88)),AND(AND(ISNUMBER($F88),ISNUMBER($G88)),ISBLANK($E88))),OR(AND(ISBLANK($H88),ISTEXT($I88)),AND(ISNUMBER($H88),ISBLANK($I88)))))))),"",IF(OR(COUNTBLANK($C88:$I88)&lt;&gt;7,COUNT($C89:$J$116)&lt;&gt;0),"Data ?",""))</f>
      </c>
      <c r="C88" s="195"/>
      <c r="D88" s="195"/>
      <c r="E88" s="196"/>
      <c r="F88" s="195"/>
      <c r="G88" s="195"/>
      <c r="H88" s="195"/>
      <c r="I88" s="195"/>
      <c r="J88" s="197"/>
      <c r="K88" s="1"/>
      <c r="L88" s="185">
        <f t="shared" si="11"/>
      </c>
      <c r="M88" s="186">
        <f t="shared" si="14"/>
      </c>
      <c r="N88" s="187">
        <f t="shared" si="15"/>
      </c>
      <c r="O88" s="188">
        <f t="shared" si="16"/>
      </c>
      <c r="P88" s="187">
        <f t="shared" si="17"/>
      </c>
      <c r="Q88" s="188">
        <f t="shared" si="12"/>
      </c>
      <c r="R88" s="187">
        <f t="shared" si="13"/>
      </c>
      <c r="S88" s="188">
        <f t="shared" si="18"/>
      </c>
      <c r="T88" s="207">
        <f t="shared" si="19"/>
      </c>
      <c r="V88" s="1"/>
    </row>
    <row r="89" spans="1:22" ht="12.75">
      <c r="A89" s="90">
        <v>73</v>
      </c>
      <c r="B89" s="201">
        <f>IF(OR(AND(AND(ISNUMBER($C89),ISNUMBER($D89)),COUNTBLANK($E89:$I89)=5),(AND(COUNTBLANK($C89:$D89)=2,(AND(OR(AND(AND(ISBLANK($F89),ISBLANK($G89)),ISNUMBER($E89)),AND(AND(ISNUMBER($F89),ISNUMBER($G89)),ISBLANK($E89))),OR(AND(ISBLANK($H89),ISTEXT($I89)),AND(ISNUMBER($H89),ISBLANK($I89)))))))),"",IF(OR(COUNTBLANK($C89:$I89)&lt;&gt;7,COUNT($C90:$J$116)&lt;&gt;0),"Data ?",""))</f>
      </c>
      <c r="C89" s="195"/>
      <c r="D89" s="195"/>
      <c r="E89" s="196"/>
      <c r="F89" s="195"/>
      <c r="G89" s="195"/>
      <c r="H89" s="195"/>
      <c r="I89" s="195"/>
      <c r="J89" s="197"/>
      <c r="K89" s="1"/>
      <c r="L89" s="185">
        <f t="shared" si="11"/>
      </c>
      <c r="M89" s="186">
        <f t="shared" si="14"/>
      </c>
      <c r="N89" s="187">
        <f t="shared" si="15"/>
      </c>
      <c r="O89" s="188">
        <f t="shared" si="16"/>
      </c>
      <c r="P89" s="187">
        <f t="shared" si="17"/>
      </c>
      <c r="Q89" s="188">
        <f t="shared" si="12"/>
      </c>
      <c r="R89" s="187">
        <f t="shared" si="13"/>
      </c>
      <c r="S89" s="188">
        <f t="shared" si="18"/>
      </c>
      <c r="T89" s="207">
        <f t="shared" si="19"/>
      </c>
      <c r="V89" s="1"/>
    </row>
    <row r="90" spans="1:22" ht="12.75">
      <c r="A90" s="90">
        <v>74</v>
      </c>
      <c r="B90" s="201">
        <f>IF(OR(AND(AND(ISNUMBER($C90),ISNUMBER($D90)),COUNTBLANK($E90:$I90)=5),(AND(COUNTBLANK($C90:$D90)=2,(AND(OR(AND(AND(ISBLANK($F90),ISBLANK($G90)),ISNUMBER($E90)),AND(AND(ISNUMBER($F90),ISNUMBER($G90)),ISBLANK($E90))),OR(AND(ISBLANK($H90),ISTEXT($I90)),AND(ISNUMBER($H90),ISBLANK($I90)))))))),"",IF(OR(COUNTBLANK($C90:$I90)&lt;&gt;7,COUNT($C91:$J$116)&lt;&gt;0),"Data ?",""))</f>
      </c>
      <c r="C90" s="195"/>
      <c r="D90" s="195"/>
      <c r="E90" s="196"/>
      <c r="F90" s="195"/>
      <c r="G90" s="195"/>
      <c r="H90" s="195"/>
      <c r="I90" s="195"/>
      <c r="J90" s="197"/>
      <c r="K90" s="1"/>
      <c r="L90" s="185">
        <f t="shared" si="11"/>
      </c>
      <c r="M90" s="186">
        <f t="shared" si="14"/>
      </c>
      <c r="N90" s="187">
        <f t="shared" si="15"/>
      </c>
      <c r="O90" s="188">
        <f t="shared" si="16"/>
      </c>
      <c r="P90" s="187">
        <f t="shared" si="17"/>
      </c>
      <c r="Q90" s="188">
        <f t="shared" si="12"/>
      </c>
      <c r="R90" s="187">
        <f t="shared" si="13"/>
      </c>
      <c r="S90" s="188">
        <f t="shared" si="18"/>
      </c>
      <c r="T90" s="207">
        <f t="shared" si="19"/>
      </c>
      <c r="V90" s="1"/>
    </row>
    <row r="91" spans="1:22" ht="12.75">
      <c r="A91" s="90">
        <v>75</v>
      </c>
      <c r="B91" s="201">
        <f>IF(OR(AND(AND(ISNUMBER($C91),ISNUMBER($D91)),COUNTBLANK($E91:$I91)=5),(AND(COUNTBLANK($C91:$D91)=2,(AND(OR(AND(AND(ISBLANK($F91),ISBLANK($G91)),ISNUMBER($E91)),AND(AND(ISNUMBER($F91),ISNUMBER($G91)),ISBLANK($E91))),OR(AND(ISBLANK($H91),ISTEXT($I91)),AND(ISNUMBER($H91),ISBLANK($I91)))))))),"",IF(OR(COUNTBLANK($C91:$I91)&lt;&gt;7,COUNT($C92:$J$116)&lt;&gt;0),"Data ?",""))</f>
      </c>
      <c r="C91" s="195"/>
      <c r="D91" s="195"/>
      <c r="E91" s="196"/>
      <c r="F91" s="195"/>
      <c r="G91" s="195"/>
      <c r="H91" s="195"/>
      <c r="I91" s="195"/>
      <c r="J91" s="197"/>
      <c r="K91" s="1"/>
      <c r="L91" s="185">
        <f t="shared" si="11"/>
      </c>
      <c r="M91" s="186">
        <f t="shared" si="14"/>
      </c>
      <c r="N91" s="187">
        <f t="shared" si="15"/>
      </c>
      <c r="O91" s="188">
        <f t="shared" si="16"/>
      </c>
      <c r="P91" s="187">
        <f t="shared" si="17"/>
      </c>
      <c r="Q91" s="188">
        <f t="shared" si="12"/>
      </c>
      <c r="R91" s="187">
        <f t="shared" si="13"/>
      </c>
      <c r="S91" s="188">
        <f t="shared" si="18"/>
      </c>
      <c r="T91" s="207">
        <f t="shared" si="19"/>
      </c>
      <c r="V91" s="1"/>
    </row>
    <row r="92" spans="1:22" ht="12.75">
      <c r="A92" s="90">
        <v>76</v>
      </c>
      <c r="B92" s="201">
        <f>IF(OR(AND(AND(ISNUMBER($C92),ISNUMBER($D92)),COUNTBLANK($E92:$I92)=5),(AND(COUNTBLANK($C92:$D92)=2,(AND(OR(AND(AND(ISBLANK($F92),ISBLANK($G92)),ISNUMBER($E92)),AND(AND(ISNUMBER($F92),ISNUMBER($G92)),ISBLANK($E92))),OR(AND(ISBLANK($H92),ISTEXT($I92)),AND(ISNUMBER($H92),ISBLANK($I92)))))))),"",IF(OR(COUNTBLANK($C92:$I92)&lt;&gt;7,COUNT($C93:$J$116)&lt;&gt;0),"Data ?",""))</f>
      </c>
      <c r="C92" s="195"/>
      <c r="D92" s="195"/>
      <c r="E92" s="196"/>
      <c r="F92" s="195"/>
      <c r="G92" s="195"/>
      <c r="H92" s="195"/>
      <c r="I92" s="195"/>
      <c r="J92" s="197"/>
      <c r="K92" s="1"/>
      <c r="L92" s="185">
        <f t="shared" si="11"/>
      </c>
      <c r="M92" s="186">
        <f t="shared" si="14"/>
      </c>
      <c r="N92" s="187">
        <f t="shared" si="15"/>
      </c>
      <c r="O92" s="188">
        <f t="shared" si="16"/>
      </c>
      <c r="P92" s="187">
        <f t="shared" si="17"/>
      </c>
      <c r="Q92" s="188">
        <f t="shared" si="12"/>
      </c>
      <c r="R92" s="187">
        <f t="shared" si="13"/>
      </c>
      <c r="S92" s="188">
        <f t="shared" si="18"/>
      </c>
      <c r="T92" s="207">
        <f t="shared" si="19"/>
      </c>
      <c r="V92" s="1"/>
    </row>
    <row r="93" spans="1:22" ht="12.75">
      <c r="A93" s="90">
        <v>77</v>
      </c>
      <c r="B93" s="201">
        <f>IF(OR(AND(AND(ISNUMBER($C93),ISNUMBER($D93)),COUNTBLANK($E93:$I93)=5),(AND(COUNTBLANK($C93:$D93)=2,(AND(OR(AND(AND(ISBLANK($F93),ISBLANK($G93)),ISNUMBER($E93)),AND(AND(ISNUMBER($F93),ISNUMBER($G93)),ISBLANK($E93))),OR(AND(ISBLANK($H93),ISTEXT($I93)),AND(ISNUMBER($H93),ISBLANK($I93)))))))),"",IF(OR(COUNTBLANK($C93:$I93)&lt;&gt;7,COUNT($C94:$J$116)&lt;&gt;0),"Data ?",""))</f>
      </c>
      <c r="C93" s="195"/>
      <c r="D93" s="195"/>
      <c r="E93" s="196"/>
      <c r="F93" s="195"/>
      <c r="G93" s="195"/>
      <c r="H93" s="195"/>
      <c r="I93" s="195"/>
      <c r="J93" s="197"/>
      <c r="K93" s="1"/>
      <c r="L93" s="185">
        <f t="shared" si="11"/>
      </c>
      <c r="M93" s="186">
        <f t="shared" si="14"/>
      </c>
      <c r="N93" s="187">
        <f t="shared" si="15"/>
      </c>
      <c r="O93" s="188">
        <f t="shared" si="16"/>
      </c>
      <c r="P93" s="187">
        <f t="shared" si="17"/>
      </c>
      <c r="Q93" s="188">
        <f t="shared" si="12"/>
      </c>
      <c r="R93" s="187">
        <f t="shared" si="13"/>
      </c>
      <c r="S93" s="188">
        <f t="shared" si="18"/>
      </c>
      <c r="T93" s="207">
        <f t="shared" si="19"/>
      </c>
      <c r="V93" s="1"/>
    </row>
    <row r="94" spans="1:22" ht="12.75">
      <c r="A94" s="90">
        <v>78</v>
      </c>
      <c r="B94" s="201">
        <f>IF(OR(AND(AND(ISNUMBER($C94),ISNUMBER($D94)),COUNTBLANK($E94:$I94)=5),(AND(COUNTBLANK($C94:$D94)=2,(AND(OR(AND(AND(ISBLANK($F94),ISBLANK($G94)),ISNUMBER($E94)),AND(AND(ISNUMBER($F94),ISNUMBER($G94)),ISBLANK($E94))),OR(AND(ISBLANK($H94),ISTEXT($I94)),AND(ISNUMBER($H94),ISBLANK($I94)))))))),"",IF(OR(COUNTBLANK($C94:$I94)&lt;&gt;7,COUNT($C95:$J$116)&lt;&gt;0),"Data ?",""))</f>
      </c>
      <c r="C94" s="195"/>
      <c r="D94" s="195"/>
      <c r="E94" s="196"/>
      <c r="F94" s="195"/>
      <c r="G94" s="195"/>
      <c r="H94" s="195"/>
      <c r="I94" s="195"/>
      <c r="J94" s="197"/>
      <c r="K94" s="1"/>
      <c r="L94" s="185">
        <f t="shared" si="11"/>
      </c>
      <c r="M94" s="186">
        <f t="shared" si="14"/>
      </c>
      <c r="N94" s="187">
        <f t="shared" si="15"/>
      </c>
      <c r="O94" s="188">
        <f t="shared" si="16"/>
      </c>
      <c r="P94" s="187">
        <f t="shared" si="17"/>
      </c>
      <c r="Q94" s="188">
        <f t="shared" si="12"/>
      </c>
      <c r="R94" s="187">
        <f t="shared" si="13"/>
      </c>
      <c r="S94" s="188">
        <f t="shared" si="18"/>
      </c>
      <c r="T94" s="207">
        <f t="shared" si="19"/>
      </c>
      <c r="V94" s="1"/>
    </row>
    <row r="95" spans="1:22" ht="12.75">
      <c r="A95" s="90">
        <v>79</v>
      </c>
      <c r="B95" s="201">
        <f>IF(OR(AND(AND(ISNUMBER($C95),ISNUMBER($D95)),COUNTBLANK($E95:$I95)=5),(AND(COUNTBLANK($C95:$D95)=2,(AND(OR(AND(AND(ISBLANK($F95),ISBLANK($G95)),ISNUMBER($E95)),AND(AND(ISNUMBER($F95),ISNUMBER($G95)),ISBLANK($E95))),OR(AND(ISBLANK($H95),ISTEXT($I95)),AND(ISNUMBER($H95),ISBLANK($I95)))))))),"",IF(OR(COUNTBLANK($C95:$I95)&lt;&gt;7,COUNT($C96:$J$116)&lt;&gt;0),"Data ?",""))</f>
      </c>
      <c r="C95" s="195"/>
      <c r="D95" s="195"/>
      <c r="E95" s="196"/>
      <c r="F95" s="195"/>
      <c r="G95" s="195"/>
      <c r="H95" s="195"/>
      <c r="I95" s="195"/>
      <c r="J95" s="197"/>
      <c r="K95" s="1"/>
      <c r="L95" s="185">
        <f t="shared" si="11"/>
      </c>
      <c r="M95" s="186">
        <f t="shared" si="14"/>
      </c>
      <c r="N95" s="187">
        <f t="shared" si="15"/>
      </c>
      <c r="O95" s="188">
        <f t="shared" si="16"/>
      </c>
      <c r="P95" s="187">
        <f t="shared" si="17"/>
      </c>
      <c r="Q95" s="188">
        <f t="shared" si="12"/>
      </c>
      <c r="R95" s="187">
        <f t="shared" si="13"/>
      </c>
      <c r="S95" s="188">
        <f t="shared" si="18"/>
      </c>
      <c r="T95" s="207">
        <f t="shared" si="19"/>
      </c>
      <c r="V95" s="1"/>
    </row>
    <row r="96" spans="1:22" ht="12.75">
      <c r="A96" s="90">
        <v>80</v>
      </c>
      <c r="B96" s="201">
        <f>IF(OR(AND(AND(ISNUMBER($C96),ISNUMBER($D96)),COUNTBLANK($E96:$I96)=5),(AND(COUNTBLANK($C96:$D96)=2,(AND(OR(AND(AND(ISBLANK($F96),ISBLANK($G96)),ISNUMBER($E96)),AND(AND(ISNUMBER($F96),ISNUMBER($G96)),ISBLANK($E96))),OR(AND(ISBLANK($H96),ISTEXT($I96)),AND(ISNUMBER($H96),ISBLANK($I96)))))))),"",IF(OR(COUNTBLANK($C96:$I96)&lt;&gt;7,COUNT($C97:$J$116)&lt;&gt;0),"Data ?",""))</f>
      </c>
      <c r="C96" s="195"/>
      <c r="D96" s="195"/>
      <c r="E96" s="196"/>
      <c r="F96" s="195"/>
      <c r="G96" s="195"/>
      <c r="H96" s="195"/>
      <c r="I96" s="195"/>
      <c r="J96" s="197"/>
      <c r="K96" s="1"/>
      <c r="L96" s="185">
        <f t="shared" si="11"/>
      </c>
      <c r="M96" s="186">
        <f t="shared" si="14"/>
      </c>
      <c r="N96" s="187">
        <f t="shared" si="15"/>
      </c>
      <c r="O96" s="188">
        <f t="shared" si="16"/>
      </c>
      <c r="P96" s="187">
        <f t="shared" si="17"/>
      </c>
      <c r="Q96" s="188">
        <f t="shared" si="12"/>
      </c>
      <c r="R96" s="187">
        <f t="shared" si="13"/>
      </c>
      <c r="S96" s="188">
        <f t="shared" si="18"/>
      </c>
      <c r="T96" s="207">
        <f t="shared" si="19"/>
      </c>
      <c r="V96" s="1"/>
    </row>
    <row r="97" spans="1:22" ht="12.75">
      <c r="A97" s="90">
        <v>81</v>
      </c>
      <c r="B97" s="201">
        <f>IF(OR(AND(AND(ISNUMBER($C97),ISNUMBER($D97)),COUNTBLANK($E97:$I97)=5),(AND(COUNTBLANK($C97:$D97)=2,(AND(OR(AND(AND(ISBLANK($F97),ISBLANK($G97)),ISNUMBER($E97)),AND(AND(ISNUMBER($F97),ISNUMBER($G97)),ISBLANK($E97))),OR(AND(ISBLANK($H97),ISTEXT($I97)),AND(ISNUMBER($H97),ISBLANK($I97)))))))),"",IF(OR(COUNTBLANK($C97:$I97)&lt;&gt;7,COUNT($C98:$J$116)&lt;&gt;0),"Data ?",""))</f>
      </c>
      <c r="C97" s="195"/>
      <c r="D97" s="195"/>
      <c r="E97" s="196"/>
      <c r="F97" s="195"/>
      <c r="G97" s="195"/>
      <c r="H97" s="195"/>
      <c r="I97" s="195"/>
      <c r="J97" s="197"/>
      <c r="K97" s="1"/>
      <c r="L97" s="185">
        <f t="shared" si="11"/>
      </c>
      <c r="M97" s="186">
        <f t="shared" si="14"/>
      </c>
      <c r="N97" s="187">
        <f t="shared" si="15"/>
      </c>
      <c r="O97" s="188">
        <f t="shared" si="16"/>
      </c>
      <c r="P97" s="187">
        <f t="shared" si="17"/>
      </c>
      <c r="Q97" s="188">
        <f t="shared" si="12"/>
      </c>
      <c r="R97" s="187">
        <f t="shared" si="13"/>
      </c>
      <c r="S97" s="188">
        <f t="shared" si="18"/>
      </c>
      <c r="T97" s="207">
        <f t="shared" si="19"/>
      </c>
      <c r="V97" s="1"/>
    </row>
    <row r="98" spans="1:22" ht="12.75">
      <c r="A98" s="90">
        <v>82</v>
      </c>
      <c r="B98" s="201">
        <f>IF(OR(AND(AND(ISNUMBER($C98),ISNUMBER($D98)),COUNTBLANK($E98:$I98)=5),(AND(COUNTBLANK($C98:$D98)=2,(AND(OR(AND(AND(ISBLANK($F98),ISBLANK($G98)),ISNUMBER($E98)),AND(AND(ISNUMBER($F98),ISNUMBER($G98)),ISBLANK($E98))),OR(AND(ISBLANK($H98),ISTEXT($I98)),AND(ISNUMBER($H98),ISBLANK($I98)))))))),"",IF(OR(COUNTBLANK($C98:$I98)&lt;&gt;7,COUNT($C99:$J$116)&lt;&gt;0),"Data ?",""))</f>
      </c>
      <c r="C98" s="195"/>
      <c r="D98" s="195"/>
      <c r="E98" s="196"/>
      <c r="F98" s="195"/>
      <c r="G98" s="195"/>
      <c r="H98" s="195"/>
      <c r="I98" s="195"/>
      <c r="J98" s="197"/>
      <c r="K98" s="1"/>
      <c r="L98" s="185">
        <f t="shared" si="11"/>
      </c>
      <c r="M98" s="186">
        <f t="shared" si="14"/>
      </c>
      <c r="N98" s="187">
        <f t="shared" si="15"/>
      </c>
      <c r="O98" s="188">
        <f t="shared" si="16"/>
      </c>
      <c r="P98" s="187">
        <f t="shared" si="17"/>
      </c>
      <c r="Q98" s="188">
        <f t="shared" si="12"/>
      </c>
      <c r="R98" s="187">
        <f t="shared" si="13"/>
      </c>
      <c r="S98" s="188">
        <f t="shared" si="18"/>
      </c>
      <c r="T98" s="207">
        <f t="shared" si="19"/>
      </c>
      <c r="V98" s="1"/>
    </row>
    <row r="99" spans="1:22" ht="12.75">
      <c r="A99" s="90">
        <v>83</v>
      </c>
      <c r="B99" s="201">
        <f>IF(OR(AND(AND(ISNUMBER($C99),ISNUMBER($D99)),COUNTBLANK($E99:$I99)=5),(AND(COUNTBLANK($C99:$D99)=2,(AND(OR(AND(AND(ISBLANK($F99),ISBLANK($G99)),ISNUMBER($E99)),AND(AND(ISNUMBER($F99),ISNUMBER($G99)),ISBLANK($E99))),OR(AND(ISBLANK($H99),ISTEXT($I99)),AND(ISNUMBER($H99),ISBLANK($I99)))))))),"",IF(OR(COUNTBLANK($C99:$I99)&lt;&gt;7,COUNT($C100:$J$116)&lt;&gt;0),"Data ?",""))</f>
      </c>
      <c r="C99" s="195"/>
      <c r="D99" s="195"/>
      <c r="E99" s="196"/>
      <c r="F99" s="195"/>
      <c r="G99" s="195"/>
      <c r="H99" s="195"/>
      <c r="I99" s="195"/>
      <c r="J99" s="197"/>
      <c r="K99" s="1"/>
      <c r="L99" s="185">
        <f t="shared" si="11"/>
      </c>
      <c r="M99" s="186">
        <f t="shared" si="14"/>
      </c>
      <c r="N99" s="187">
        <f t="shared" si="15"/>
      </c>
      <c r="O99" s="188">
        <f t="shared" si="16"/>
      </c>
      <c r="P99" s="187">
        <f t="shared" si="17"/>
      </c>
      <c r="Q99" s="188">
        <f t="shared" si="12"/>
      </c>
      <c r="R99" s="187">
        <f t="shared" si="13"/>
      </c>
      <c r="S99" s="188">
        <f t="shared" si="18"/>
      </c>
      <c r="T99" s="207">
        <f t="shared" si="19"/>
      </c>
      <c r="V99" s="1"/>
    </row>
    <row r="100" spans="1:22" ht="12.75">
      <c r="A100" s="90">
        <v>84</v>
      </c>
      <c r="B100" s="201">
        <f>IF(OR(AND(AND(ISNUMBER($C100),ISNUMBER($D100)),COUNTBLANK($E100:$I100)=5),(AND(COUNTBLANK($C100:$D100)=2,(AND(OR(AND(AND(ISBLANK($F100),ISBLANK($G100)),ISNUMBER($E100)),AND(AND(ISNUMBER($F100),ISNUMBER($G100)),ISBLANK($E100))),OR(AND(ISBLANK($H100),ISTEXT($I100)),AND(ISNUMBER($H100),ISBLANK($I100)))))))),"",IF(OR(COUNTBLANK($C100:$I100)&lt;&gt;7,COUNT($C101:$J$116)&lt;&gt;0),"Data ?",""))</f>
      </c>
      <c r="C100" s="195"/>
      <c r="D100" s="195"/>
      <c r="E100" s="196"/>
      <c r="F100" s="195"/>
      <c r="G100" s="195"/>
      <c r="H100" s="195"/>
      <c r="I100" s="195"/>
      <c r="J100" s="197"/>
      <c r="K100" s="1"/>
      <c r="L100" s="185">
        <f t="shared" si="11"/>
      </c>
      <c r="M100" s="186">
        <f t="shared" si="14"/>
      </c>
      <c r="N100" s="187">
        <f t="shared" si="15"/>
      </c>
      <c r="O100" s="188">
        <f t="shared" si="16"/>
      </c>
      <c r="P100" s="187">
        <f t="shared" si="17"/>
      </c>
      <c r="Q100" s="188">
        <f t="shared" si="12"/>
      </c>
      <c r="R100" s="187">
        <f t="shared" si="13"/>
      </c>
      <c r="S100" s="188">
        <f t="shared" si="18"/>
      </c>
      <c r="T100" s="207">
        <f t="shared" si="19"/>
      </c>
      <c r="V100" s="1"/>
    </row>
    <row r="101" spans="1:22" ht="12.75">
      <c r="A101" s="90">
        <v>85</v>
      </c>
      <c r="B101" s="201">
        <f>IF(OR(AND(AND(ISNUMBER($C101),ISNUMBER($D101)),COUNTBLANK($E101:$I101)=5),(AND(COUNTBLANK($C101:$D101)=2,(AND(OR(AND(AND(ISBLANK($F101),ISBLANK($G101)),ISNUMBER($E101)),AND(AND(ISNUMBER($F101),ISNUMBER($G101)),ISBLANK($E101))),OR(AND(ISBLANK($H101),ISTEXT($I101)),AND(ISNUMBER($H101),ISBLANK($I101)))))))),"",IF(OR(COUNTBLANK($C101:$I101)&lt;&gt;7,COUNT($C102:$J$116)&lt;&gt;0),"Data ?",""))</f>
      </c>
      <c r="C101" s="195"/>
      <c r="D101" s="195"/>
      <c r="E101" s="196"/>
      <c r="F101" s="195"/>
      <c r="G101" s="195"/>
      <c r="H101" s="195"/>
      <c r="I101" s="195"/>
      <c r="J101" s="197"/>
      <c r="K101" s="1"/>
      <c r="L101" s="185">
        <f t="shared" si="11"/>
      </c>
      <c r="M101" s="186">
        <f t="shared" si="14"/>
      </c>
      <c r="N101" s="187">
        <f t="shared" si="15"/>
      </c>
      <c r="O101" s="188">
        <f t="shared" si="16"/>
      </c>
      <c r="P101" s="187">
        <f t="shared" si="17"/>
      </c>
      <c r="Q101" s="188">
        <f t="shared" si="12"/>
      </c>
      <c r="R101" s="187">
        <f t="shared" si="13"/>
      </c>
      <c r="S101" s="188">
        <f t="shared" si="18"/>
      </c>
      <c r="T101" s="207">
        <f t="shared" si="19"/>
      </c>
      <c r="V101" s="1"/>
    </row>
    <row r="102" spans="1:22" ht="12.75">
      <c r="A102" s="90">
        <v>86</v>
      </c>
      <c r="B102" s="201">
        <f>IF(OR(AND(AND(ISNUMBER($C102),ISNUMBER($D102)),COUNTBLANK($E102:$I102)=5),(AND(COUNTBLANK($C102:$D102)=2,(AND(OR(AND(AND(ISBLANK($F102),ISBLANK($G102)),ISNUMBER($E102)),AND(AND(ISNUMBER($F102),ISNUMBER($G102)),ISBLANK($E102))),OR(AND(ISBLANK($H102),ISTEXT($I102)),AND(ISNUMBER($H102),ISBLANK($I102)))))))),"",IF(OR(COUNTBLANK($C102:$I102)&lt;&gt;7,COUNT($C103:$J$116)&lt;&gt;0),"Data ?",""))</f>
      </c>
      <c r="C102" s="195"/>
      <c r="D102" s="195"/>
      <c r="E102" s="196"/>
      <c r="F102" s="195"/>
      <c r="G102" s="195"/>
      <c r="H102" s="195"/>
      <c r="I102" s="195"/>
      <c r="J102" s="197"/>
      <c r="K102" s="1"/>
      <c r="L102" s="185">
        <f t="shared" si="11"/>
      </c>
      <c r="M102" s="186">
        <f t="shared" si="14"/>
      </c>
      <c r="N102" s="187">
        <f t="shared" si="15"/>
      </c>
      <c r="O102" s="188">
        <f t="shared" si="16"/>
      </c>
      <c r="P102" s="187">
        <f t="shared" si="17"/>
      </c>
      <c r="Q102" s="188">
        <f t="shared" si="12"/>
      </c>
      <c r="R102" s="187">
        <f t="shared" si="13"/>
      </c>
      <c r="S102" s="188">
        <f t="shared" si="18"/>
      </c>
      <c r="T102" s="207">
        <f t="shared" si="19"/>
      </c>
      <c r="V102" s="1"/>
    </row>
    <row r="103" spans="1:22" ht="12.75">
      <c r="A103" s="90">
        <v>87</v>
      </c>
      <c r="B103" s="201">
        <f>IF(OR(AND(AND(ISNUMBER($C103),ISNUMBER($D103)),COUNTBLANK($E103:$I103)=5),(AND(COUNTBLANK($C103:$D103)=2,(AND(OR(AND(AND(ISBLANK($F103),ISBLANK($G103)),ISNUMBER($E103)),AND(AND(ISNUMBER($F103),ISNUMBER($G103)),ISBLANK($E103))),OR(AND(ISBLANK($H103),ISTEXT($I103)),AND(ISNUMBER($H103),ISBLANK($I103)))))))),"",IF(OR(COUNTBLANK($C103:$I103)&lt;&gt;7,COUNT($C104:$J$116)&lt;&gt;0),"Data ?",""))</f>
      </c>
      <c r="C103" s="195"/>
      <c r="D103" s="195"/>
      <c r="E103" s="196"/>
      <c r="F103" s="195"/>
      <c r="G103" s="195"/>
      <c r="H103" s="195"/>
      <c r="I103" s="195"/>
      <c r="J103" s="197"/>
      <c r="K103" s="1"/>
      <c r="L103" s="185">
        <f t="shared" si="11"/>
      </c>
      <c r="M103" s="186">
        <f t="shared" si="14"/>
      </c>
      <c r="N103" s="187">
        <f t="shared" si="15"/>
      </c>
      <c r="O103" s="188">
        <f t="shared" si="16"/>
      </c>
      <c r="P103" s="187">
        <f t="shared" si="17"/>
      </c>
      <c r="Q103" s="188">
        <f t="shared" si="12"/>
      </c>
      <c r="R103" s="187">
        <f t="shared" si="13"/>
      </c>
      <c r="S103" s="188">
        <f t="shared" si="18"/>
      </c>
      <c r="T103" s="207">
        <f t="shared" si="19"/>
      </c>
      <c r="V103" s="1"/>
    </row>
    <row r="104" spans="1:22" ht="12.75">
      <c r="A104" s="90">
        <v>88</v>
      </c>
      <c r="B104" s="201">
        <f>IF(OR(AND(AND(ISNUMBER($C104),ISNUMBER($D104)),COUNTBLANK($E104:$I104)=5),(AND(COUNTBLANK($C104:$D104)=2,(AND(OR(AND(AND(ISBLANK($F104),ISBLANK($G104)),ISNUMBER($E104)),AND(AND(ISNUMBER($F104),ISNUMBER($G104)),ISBLANK($E104))),OR(AND(ISBLANK($H104),ISTEXT($I104)),AND(ISNUMBER($H104),ISBLANK($I104)))))))),"",IF(OR(COUNTBLANK($C104:$I104)&lt;&gt;7,COUNT($C105:$J$116)&lt;&gt;0),"Data ?",""))</f>
      </c>
      <c r="C104" s="195"/>
      <c r="D104" s="195"/>
      <c r="E104" s="196"/>
      <c r="F104" s="195"/>
      <c r="G104" s="195"/>
      <c r="H104" s="195"/>
      <c r="I104" s="195"/>
      <c r="J104" s="197"/>
      <c r="K104" s="1"/>
      <c r="L104" s="185">
        <f t="shared" si="11"/>
      </c>
      <c r="M104" s="186">
        <f t="shared" si="14"/>
      </c>
      <c r="N104" s="187">
        <f t="shared" si="15"/>
      </c>
      <c r="O104" s="188">
        <f t="shared" si="16"/>
      </c>
      <c r="P104" s="187">
        <f t="shared" si="17"/>
      </c>
      <c r="Q104" s="188">
        <f t="shared" si="12"/>
      </c>
      <c r="R104" s="187">
        <f t="shared" si="13"/>
      </c>
      <c r="S104" s="188">
        <f t="shared" si="18"/>
      </c>
      <c r="T104" s="207">
        <f t="shared" si="19"/>
      </c>
      <c r="V104" s="1"/>
    </row>
    <row r="105" spans="1:22" ht="12.75">
      <c r="A105" s="90">
        <v>89</v>
      </c>
      <c r="B105" s="201">
        <f>IF(OR(AND(AND(ISNUMBER($C105),ISNUMBER($D105)),COUNTBLANK($E105:$I105)=5),(AND(COUNTBLANK($C105:$D105)=2,(AND(OR(AND(AND(ISBLANK($F105),ISBLANK($G105)),ISNUMBER($E105)),AND(AND(ISNUMBER($F105),ISNUMBER($G105)),ISBLANK($E105))),OR(AND(ISBLANK($H105),ISTEXT($I105)),AND(ISNUMBER($H105),ISBLANK($I105)))))))),"",IF(OR(COUNTBLANK($C105:$I105)&lt;&gt;7,COUNT($C106:$J$116)&lt;&gt;0),"Data ?",""))</f>
      </c>
      <c r="C105" s="195"/>
      <c r="D105" s="195"/>
      <c r="E105" s="196"/>
      <c r="F105" s="195"/>
      <c r="G105" s="195"/>
      <c r="H105" s="195"/>
      <c r="I105" s="195"/>
      <c r="J105" s="197"/>
      <c r="K105" s="1"/>
      <c r="L105" s="185">
        <f t="shared" si="11"/>
      </c>
      <c r="M105" s="186">
        <f t="shared" si="14"/>
      </c>
      <c r="N105" s="187">
        <f t="shared" si="15"/>
      </c>
      <c r="O105" s="188">
        <f t="shared" si="16"/>
      </c>
      <c r="P105" s="187">
        <f t="shared" si="17"/>
      </c>
      <c r="Q105" s="188">
        <f t="shared" si="12"/>
      </c>
      <c r="R105" s="187">
        <f t="shared" si="13"/>
      </c>
      <c r="S105" s="188">
        <f t="shared" si="18"/>
      </c>
      <c r="T105" s="207">
        <f t="shared" si="19"/>
      </c>
      <c r="V105" s="1"/>
    </row>
    <row r="106" spans="1:22" ht="12.75">
      <c r="A106" s="90">
        <v>90</v>
      </c>
      <c r="B106" s="201">
        <f>IF(OR(AND(AND(ISNUMBER($C106),ISNUMBER($D106)),COUNTBLANK($E106:$I106)=5),(AND(COUNTBLANK($C106:$D106)=2,(AND(OR(AND(AND(ISBLANK($F106),ISBLANK($G106)),ISNUMBER($E106)),AND(AND(ISNUMBER($F106),ISNUMBER($G106)),ISBLANK($E106))),OR(AND(ISBLANK($H106),ISTEXT($I106)),AND(ISNUMBER($H106),ISBLANK($I106)))))))),"",IF(OR(COUNTBLANK($C106:$I106)&lt;&gt;7,COUNT($C107:$J$116)&lt;&gt;0),"Data ?",""))</f>
      </c>
      <c r="C106" s="195"/>
      <c r="D106" s="195"/>
      <c r="E106" s="196"/>
      <c r="F106" s="195"/>
      <c r="G106" s="195"/>
      <c r="H106" s="195"/>
      <c r="I106" s="195"/>
      <c r="J106" s="197"/>
      <c r="K106" s="1"/>
      <c r="L106" s="185">
        <f t="shared" si="11"/>
      </c>
      <c r="M106" s="186">
        <f t="shared" si="14"/>
      </c>
      <c r="N106" s="187">
        <f t="shared" si="15"/>
      </c>
      <c r="O106" s="188">
        <f t="shared" si="16"/>
      </c>
      <c r="P106" s="187">
        <f t="shared" si="17"/>
      </c>
      <c r="Q106" s="188">
        <f t="shared" si="12"/>
      </c>
      <c r="R106" s="187">
        <f t="shared" si="13"/>
      </c>
      <c r="S106" s="188">
        <f t="shared" si="18"/>
      </c>
      <c r="T106" s="207">
        <f t="shared" si="19"/>
      </c>
      <c r="V106" s="1"/>
    </row>
    <row r="107" spans="1:22" ht="12.75">
      <c r="A107" s="90">
        <v>91</v>
      </c>
      <c r="B107" s="201">
        <f>IF(OR(AND(AND(ISNUMBER($C107),ISNUMBER($D107)),COUNTBLANK($E107:$I107)=5),(AND(COUNTBLANK($C107:$D107)=2,(AND(OR(AND(AND(ISBLANK($F107),ISBLANK($G107)),ISNUMBER($E107)),AND(AND(ISNUMBER($F107),ISNUMBER($G107)),ISBLANK($E107))),OR(AND(ISBLANK($H107),ISTEXT($I107)),AND(ISNUMBER($H107),ISBLANK($I107)))))))),"",IF(OR(COUNTBLANK($C107:$I107)&lt;&gt;7,COUNT($C108:$J$116)&lt;&gt;0),"Data ?",""))</f>
      </c>
      <c r="C107" s="195"/>
      <c r="D107" s="195"/>
      <c r="E107" s="196"/>
      <c r="F107" s="195"/>
      <c r="G107" s="195"/>
      <c r="H107" s="195"/>
      <c r="I107" s="195"/>
      <c r="J107" s="197"/>
      <c r="K107" s="1"/>
      <c r="L107" s="185">
        <f t="shared" si="11"/>
      </c>
      <c r="M107" s="186">
        <f t="shared" si="14"/>
      </c>
      <c r="N107" s="187">
        <f t="shared" si="15"/>
      </c>
      <c r="O107" s="188">
        <f t="shared" si="16"/>
      </c>
      <c r="P107" s="187">
        <f t="shared" si="17"/>
      </c>
      <c r="Q107" s="188">
        <f t="shared" si="12"/>
      </c>
      <c r="R107" s="187">
        <f t="shared" si="13"/>
      </c>
      <c r="S107" s="188">
        <f t="shared" si="18"/>
      </c>
      <c r="T107" s="207">
        <f t="shared" si="19"/>
      </c>
      <c r="V107" s="1"/>
    </row>
    <row r="108" spans="1:22" ht="12.75">
      <c r="A108" s="90">
        <v>92</v>
      </c>
      <c r="B108" s="201">
        <f>IF(OR(AND(AND(ISNUMBER($C108),ISNUMBER($D108)),COUNTBLANK($E108:$I108)=5),(AND(COUNTBLANK($C108:$D108)=2,(AND(OR(AND(AND(ISBLANK($F108),ISBLANK($G108)),ISNUMBER($E108)),AND(AND(ISNUMBER($F108),ISNUMBER($G108)),ISBLANK($E108))),OR(AND(ISBLANK($H108),ISTEXT($I108)),AND(ISNUMBER($H108),ISBLANK($I108)))))))),"",IF(OR(COUNTBLANK($C108:$I108)&lt;&gt;7,COUNT($C109:$J$116)&lt;&gt;0),"Data ?",""))</f>
      </c>
      <c r="C108" s="195"/>
      <c r="D108" s="195"/>
      <c r="E108" s="196"/>
      <c r="F108" s="195"/>
      <c r="G108" s="195"/>
      <c r="H108" s="195"/>
      <c r="I108" s="195"/>
      <c r="J108" s="197"/>
      <c r="K108" s="1"/>
      <c r="L108" s="185">
        <f t="shared" si="11"/>
      </c>
      <c r="M108" s="186">
        <f t="shared" si="14"/>
      </c>
      <c r="N108" s="187">
        <f t="shared" si="15"/>
      </c>
      <c r="O108" s="188">
        <f t="shared" si="16"/>
      </c>
      <c r="P108" s="187">
        <f t="shared" si="17"/>
      </c>
      <c r="Q108" s="188">
        <f t="shared" si="12"/>
      </c>
      <c r="R108" s="187">
        <f t="shared" si="13"/>
      </c>
      <c r="S108" s="188">
        <f t="shared" si="18"/>
      </c>
      <c r="T108" s="207">
        <f t="shared" si="19"/>
      </c>
      <c r="V108" s="1"/>
    </row>
    <row r="109" spans="1:22" ht="12.75">
      <c r="A109" s="90">
        <v>93</v>
      </c>
      <c r="B109" s="201">
        <f>IF(OR(AND(AND(ISNUMBER($C109),ISNUMBER($D109)),COUNTBLANK($E109:$I109)=5),(AND(COUNTBLANK($C109:$D109)=2,(AND(OR(AND(AND(ISBLANK($F109),ISBLANK($G109)),ISNUMBER($E109)),AND(AND(ISNUMBER($F109),ISNUMBER($G109)),ISBLANK($E109))),OR(AND(ISBLANK($H109),ISTEXT($I109)),AND(ISNUMBER($H109),ISBLANK($I109)))))))),"",IF(OR(COUNTBLANK($C109:$I109)&lt;&gt;7,COUNT($C110:$J$116)&lt;&gt;0),"Data ?",""))</f>
      </c>
      <c r="C109" s="195"/>
      <c r="D109" s="195"/>
      <c r="E109" s="196"/>
      <c r="F109" s="195"/>
      <c r="G109" s="195"/>
      <c r="H109" s="195"/>
      <c r="I109" s="195"/>
      <c r="J109" s="197"/>
      <c r="K109" s="1"/>
      <c r="L109" s="185">
        <f t="shared" si="11"/>
      </c>
      <c r="M109" s="186">
        <f t="shared" si="14"/>
      </c>
      <c r="N109" s="187">
        <f t="shared" si="15"/>
      </c>
      <c r="O109" s="188">
        <f t="shared" si="16"/>
      </c>
      <c r="P109" s="187">
        <f t="shared" si="17"/>
      </c>
      <c r="Q109" s="188">
        <f t="shared" si="12"/>
      </c>
      <c r="R109" s="187">
        <f t="shared" si="13"/>
      </c>
      <c r="S109" s="188">
        <f t="shared" si="18"/>
      </c>
      <c r="T109" s="207">
        <f t="shared" si="19"/>
      </c>
      <c r="V109" s="1"/>
    </row>
    <row r="110" spans="1:22" ht="12.75">
      <c r="A110" s="90">
        <v>94</v>
      </c>
      <c r="B110" s="201">
        <f>IF(OR(AND(AND(ISNUMBER($C110),ISNUMBER($D110)),COUNTBLANK($E110:$I110)=5),(AND(COUNTBLANK($C110:$D110)=2,(AND(OR(AND(AND(ISBLANK($F110),ISBLANK($G110)),ISNUMBER($E110)),AND(AND(ISNUMBER($F110),ISNUMBER($G110)),ISBLANK($E110))),OR(AND(ISBLANK($H110),ISTEXT($I110)),AND(ISNUMBER($H110),ISBLANK($I110)))))))),"",IF(OR(COUNTBLANK($C110:$I110)&lt;&gt;7,COUNT($C111:$J$116)&lt;&gt;0),"Data ?",""))</f>
      </c>
      <c r="C110" s="195"/>
      <c r="D110" s="195"/>
      <c r="E110" s="196"/>
      <c r="F110" s="195"/>
      <c r="G110" s="195"/>
      <c r="H110" s="195"/>
      <c r="I110" s="195"/>
      <c r="J110" s="197"/>
      <c r="K110" s="1"/>
      <c r="L110" s="185">
        <f t="shared" si="11"/>
      </c>
      <c r="M110" s="186">
        <f t="shared" si="14"/>
      </c>
      <c r="N110" s="187">
        <f t="shared" si="15"/>
      </c>
      <c r="O110" s="188">
        <f t="shared" si="16"/>
      </c>
      <c r="P110" s="187">
        <f t="shared" si="17"/>
      </c>
      <c r="Q110" s="188">
        <f t="shared" si="12"/>
      </c>
      <c r="R110" s="187">
        <f t="shared" si="13"/>
      </c>
      <c r="S110" s="188">
        <f t="shared" si="18"/>
      </c>
      <c r="T110" s="207">
        <f t="shared" si="19"/>
      </c>
      <c r="V110" s="1"/>
    </row>
    <row r="111" spans="1:22" ht="12.75">
      <c r="A111" s="90">
        <v>95</v>
      </c>
      <c r="B111" s="201">
        <f>IF(OR(AND(AND(ISNUMBER($C111),ISNUMBER($D111)),COUNTBLANK($E111:$I111)=5),(AND(COUNTBLANK($C111:$D111)=2,(AND(OR(AND(AND(ISBLANK($F111),ISBLANK($G111)),ISNUMBER($E111)),AND(AND(ISNUMBER($F111),ISNUMBER($G111)),ISBLANK($E111))),OR(AND(ISBLANK($H111),ISTEXT($I111)),AND(ISNUMBER($H111),ISBLANK($I111)))))))),"",IF(OR(COUNTBLANK($C111:$I111)&lt;&gt;7,COUNT($C112:$J$116)&lt;&gt;0),"Data ?",""))</f>
      </c>
      <c r="C111" s="195"/>
      <c r="D111" s="195"/>
      <c r="E111" s="196"/>
      <c r="F111" s="195"/>
      <c r="G111" s="195"/>
      <c r="H111" s="195"/>
      <c r="I111" s="195"/>
      <c r="J111" s="197"/>
      <c r="K111" s="1"/>
      <c r="L111" s="185">
        <f t="shared" si="11"/>
      </c>
      <c r="M111" s="186">
        <f t="shared" si="14"/>
      </c>
      <c r="N111" s="187">
        <f t="shared" si="15"/>
      </c>
      <c r="O111" s="188">
        <f t="shared" si="16"/>
      </c>
      <c r="P111" s="187">
        <f t="shared" si="17"/>
      </c>
      <c r="Q111" s="188">
        <f t="shared" si="12"/>
      </c>
      <c r="R111" s="187">
        <f t="shared" si="13"/>
      </c>
      <c r="S111" s="188">
        <f t="shared" si="18"/>
      </c>
      <c r="T111" s="207">
        <f t="shared" si="19"/>
      </c>
      <c r="V111" s="1"/>
    </row>
    <row r="112" spans="1:22" ht="12.75">
      <c r="A112" s="90">
        <v>96</v>
      </c>
      <c r="B112" s="201">
        <f>IF(OR(AND(AND(ISNUMBER($C112),ISNUMBER($D112)),COUNTBLANK($E112:$I112)=5),(AND(COUNTBLANK($C112:$D112)=2,(AND(OR(AND(AND(ISBLANK($F112),ISBLANK($G112)),ISNUMBER($E112)),AND(AND(ISNUMBER($F112),ISNUMBER($G112)),ISBLANK($E112))),OR(AND(ISBLANK($H112),ISTEXT($I112)),AND(ISNUMBER($H112),ISBLANK($I112)))))))),"",IF(OR(COUNTBLANK($C112:$I112)&lt;&gt;7,COUNT($C113:$J$116)&lt;&gt;0),"Data ?",""))</f>
      </c>
      <c r="C112" s="195"/>
      <c r="D112" s="195"/>
      <c r="E112" s="196"/>
      <c r="F112" s="195"/>
      <c r="G112" s="195"/>
      <c r="H112" s="195"/>
      <c r="I112" s="195"/>
      <c r="J112" s="197"/>
      <c r="K112" s="1"/>
      <c r="L112" s="185">
        <f t="shared" si="11"/>
      </c>
      <c r="M112" s="186">
        <f t="shared" si="14"/>
      </c>
      <c r="N112" s="187">
        <f t="shared" si="15"/>
      </c>
      <c r="O112" s="188">
        <f t="shared" si="16"/>
      </c>
      <c r="P112" s="187">
        <f t="shared" si="17"/>
      </c>
      <c r="Q112" s="188">
        <f t="shared" si="12"/>
      </c>
      <c r="R112" s="187">
        <f t="shared" si="13"/>
      </c>
      <c r="S112" s="188">
        <f t="shared" si="18"/>
      </c>
      <c r="T112" s="207">
        <f t="shared" si="19"/>
      </c>
      <c r="V112" s="1"/>
    </row>
    <row r="113" spans="1:22" ht="12.75">
      <c r="A113" s="90">
        <v>97</v>
      </c>
      <c r="B113" s="201">
        <f>IF(OR(AND(AND(ISNUMBER($C113),ISNUMBER($D113)),COUNTBLANK($E113:$I113)=5),(AND(COUNTBLANK($C113:$D113)=2,(AND(OR(AND(AND(ISBLANK($F113),ISBLANK($G113)),ISNUMBER($E113)),AND(AND(ISNUMBER($F113),ISNUMBER($G113)),ISBLANK($E113))),OR(AND(ISBLANK($H113),ISTEXT($I113)),AND(ISNUMBER($H113),ISBLANK($I113)))))))),"",IF(OR(COUNTBLANK($C113:$I113)&lt;&gt;7,COUNT($C114:$J$116)&lt;&gt;0),"Data ?",""))</f>
      </c>
      <c r="C113" s="195"/>
      <c r="D113" s="195"/>
      <c r="E113" s="196"/>
      <c r="F113" s="195"/>
      <c r="G113" s="195"/>
      <c r="H113" s="195"/>
      <c r="I113" s="195"/>
      <c r="J113" s="197"/>
      <c r="K113" s="1"/>
      <c r="L113" s="185">
        <f t="shared" si="11"/>
      </c>
      <c r="M113" s="186">
        <f t="shared" si="14"/>
      </c>
      <c r="N113" s="187">
        <f t="shared" si="15"/>
      </c>
      <c r="O113" s="188">
        <f t="shared" si="16"/>
      </c>
      <c r="P113" s="187">
        <f t="shared" si="17"/>
      </c>
      <c r="Q113" s="188">
        <f t="shared" si="12"/>
      </c>
      <c r="R113" s="187">
        <f t="shared" si="13"/>
      </c>
      <c r="S113" s="188">
        <f t="shared" si="18"/>
      </c>
      <c r="T113" s="207">
        <f t="shared" si="19"/>
      </c>
      <c r="V113" s="1"/>
    </row>
    <row r="114" spans="1:22" ht="12.75">
      <c r="A114" s="90">
        <v>98</v>
      </c>
      <c r="B114" s="201">
        <f>IF(OR(AND(AND(ISNUMBER($C114),ISNUMBER($D114)),COUNTBLANK($E114:$I114)=5),(AND(COUNTBLANK($C114:$D114)=2,(AND(OR(AND(AND(ISBLANK($F114),ISBLANK($G114)),ISNUMBER($E114)),AND(AND(ISNUMBER($F114),ISNUMBER($G114)),ISBLANK($E114))),OR(AND(ISBLANK($H114),ISTEXT($I114)),AND(ISNUMBER($H114),ISBLANK($I114)))))))),"",IF(OR(COUNTBLANK($C114:$I114)&lt;&gt;7,COUNT($C115:$J$116)&lt;&gt;0),"Data ?",""))</f>
      </c>
      <c r="C114" s="195"/>
      <c r="D114" s="195"/>
      <c r="E114" s="196"/>
      <c r="F114" s="195"/>
      <c r="G114" s="195"/>
      <c r="H114" s="195"/>
      <c r="I114" s="195"/>
      <c r="J114" s="197"/>
      <c r="K114" s="1"/>
      <c r="L114" s="185">
        <f t="shared" si="11"/>
      </c>
      <c r="M114" s="186">
        <f t="shared" si="14"/>
      </c>
      <c r="N114" s="187">
        <f t="shared" si="15"/>
      </c>
      <c r="O114" s="188">
        <f t="shared" si="16"/>
      </c>
      <c r="P114" s="187">
        <f t="shared" si="17"/>
      </c>
      <c r="Q114" s="188">
        <f t="shared" si="12"/>
      </c>
      <c r="R114" s="187">
        <f t="shared" si="13"/>
      </c>
      <c r="S114" s="188">
        <f t="shared" si="18"/>
      </c>
      <c r="T114" s="207">
        <f t="shared" si="19"/>
      </c>
      <c r="V114" s="1"/>
    </row>
    <row r="115" spans="1:22" ht="12.75">
      <c r="A115" s="90">
        <v>99</v>
      </c>
      <c r="B115" s="201">
        <f>IF(OR(AND(AND(ISNUMBER($C115),ISNUMBER($D115)),COUNTBLANK($E115:$I115)=5),(AND(COUNTBLANK($C115:$D115)=2,(AND(OR(AND(AND(ISBLANK($F115),ISBLANK($G115)),ISNUMBER($E115)),AND(AND(ISNUMBER($F115),ISNUMBER($G115)),ISBLANK($E115))),OR(AND(ISBLANK($H115),ISTEXT($I115)),AND(ISNUMBER($H115),ISBLANK($I115)))))))),"",IF(OR(COUNTBLANK($C115:$I115)&lt;&gt;7,COUNT($C116:$J$116)&lt;&gt;0),"Data ?",""))</f>
      </c>
      <c r="C115" s="195"/>
      <c r="D115" s="195"/>
      <c r="E115" s="196"/>
      <c r="F115" s="195"/>
      <c r="G115" s="195"/>
      <c r="H115" s="195"/>
      <c r="I115" s="195"/>
      <c r="J115" s="197"/>
      <c r="K115" s="1"/>
      <c r="L115" s="185">
        <f t="shared" si="11"/>
      </c>
      <c r="M115" s="186">
        <f t="shared" si="14"/>
      </c>
      <c r="N115" s="187">
        <f t="shared" si="15"/>
      </c>
      <c r="O115" s="188">
        <f t="shared" si="16"/>
      </c>
      <c r="P115" s="187">
        <f t="shared" si="17"/>
      </c>
      <c r="Q115" s="188">
        <f t="shared" si="12"/>
      </c>
      <c r="R115" s="187">
        <f t="shared" si="13"/>
      </c>
      <c r="S115" s="188">
        <f t="shared" si="18"/>
      </c>
      <c r="T115" s="207">
        <f t="shared" si="19"/>
      </c>
      <c r="V115" s="1"/>
    </row>
    <row r="116" spans="1:22" ht="13.5" thickBot="1">
      <c r="A116" s="66">
        <v>100</v>
      </c>
      <c r="B116" s="202">
        <f>IF(OR(AND(AND(ISNUMBER($C116),ISNUMBER($D116)),COUNTBLANK($E116:$I116)=5),(AND(COUNTBLANK($C116:$D116)=2,(AND(OR(AND(AND(ISBLANK($F116),ISBLANK($G116)),ISNUMBER($E116)),AND(AND(ISNUMBER($F116),ISNUMBER($G116)),ISBLANK($E116))),OR(AND(ISBLANK($H116),ISTEXT($I116)),AND(ISNUMBER($H116),ISBLANK($I116)))))))),"",IF(OR(COUNTBLANK($C116:$I116)&lt;&gt;7,COUNT($C$116:$J117)&lt;&gt;0),"Data ?",""))</f>
      </c>
      <c r="C116" s="198"/>
      <c r="D116" s="198"/>
      <c r="E116" s="199"/>
      <c r="F116" s="198"/>
      <c r="G116" s="198"/>
      <c r="H116" s="198"/>
      <c r="I116" s="198"/>
      <c r="J116" s="200"/>
      <c r="K116" s="1"/>
      <c r="L116" s="189">
        <f t="shared" si="11"/>
      </c>
      <c r="M116" s="190">
        <f t="shared" si="14"/>
      </c>
      <c r="N116" s="191">
        <f t="shared" si="15"/>
      </c>
      <c r="O116" s="192">
        <f t="shared" si="16"/>
      </c>
      <c r="P116" s="191">
        <f t="shared" si="17"/>
      </c>
      <c r="Q116" s="192">
        <f t="shared" si="12"/>
      </c>
      <c r="R116" s="191">
        <f t="shared" si="13"/>
      </c>
      <c r="S116" s="192">
        <f t="shared" si="18"/>
      </c>
      <c r="T116" s="208">
        <f t="shared" si="19"/>
      </c>
      <c r="V116" s="1"/>
    </row>
    <row r="117" spans="1:21" ht="13.5" thickTop="1">
      <c r="A117" s="40"/>
      <c r="B117" s="40"/>
      <c r="C117" s="40"/>
      <c r="D117" s="40"/>
      <c r="E117" s="40"/>
      <c r="F117" s="40"/>
      <c r="G117" s="40"/>
      <c r="H117" s="40"/>
      <c r="I117" s="40"/>
      <c r="J117" s="40"/>
      <c r="K117" s="43"/>
      <c r="L117" s="33"/>
      <c r="M117" s="33"/>
      <c r="N117" s="43"/>
      <c r="O117" s="43"/>
      <c r="P117" s="24"/>
      <c r="Q117" s="24"/>
      <c r="R117" s="24"/>
      <c r="S117" s="24"/>
      <c r="T117" s="24"/>
      <c r="U117" s="1"/>
    </row>
    <row r="118" spans="1:21" ht="12.75">
      <c r="A118" s="40"/>
      <c r="B118" s="40"/>
      <c r="C118" s="40"/>
      <c r="D118" s="40"/>
      <c r="E118" s="40"/>
      <c r="F118" s="40"/>
      <c r="G118" s="40"/>
      <c r="H118" s="40"/>
      <c r="I118" s="40"/>
      <c r="J118" s="40"/>
      <c r="K118" s="43"/>
      <c r="L118" s="33"/>
      <c r="M118" s="33"/>
      <c r="N118" s="43"/>
      <c r="O118" s="43"/>
      <c r="P118" s="24"/>
      <c r="Q118" s="24"/>
      <c r="R118" s="24"/>
      <c r="S118" s="24"/>
      <c r="T118" s="24"/>
      <c r="U118" s="1"/>
    </row>
  </sheetData>
  <sheetProtection sheet="1" objects="1" scenarios="1"/>
  <mergeCells count="20">
    <mergeCell ref="L6:M6"/>
    <mergeCell ref="C6:D6"/>
    <mergeCell ref="C8:D8"/>
    <mergeCell ref="C9:D9"/>
    <mergeCell ref="A14:A15"/>
    <mergeCell ref="A13:J13"/>
    <mergeCell ref="E14:G14"/>
    <mergeCell ref="H14:I14"/>
    <mergeCell ref="J14:J15"/>
    <mergeCell ref="C14:D14"/>
    <mergeCell ref="Y13:Z14"/>
    <mergeCell ref="S14:T14"/>
    <mergeCell ref="V13:W14"/>
    <mergeCell ref="B14:B15"/>
    <mergeCell ref="P14:P15"/>
    <mergeCell ref="Q14:R14"/>
    <mergeCell ref="L13:T13"/>
    <mergeCell ref="L14:L15"/>
    <mergeCell ref="O14:O15"/>
    <mergeCell ref="M14:N14"/>
  </mergeCells>
  <printOptions/>
  <pageMargins left="0.75" right="0.75" top="1" bottom="1" header="0.5" footer="0.5"/>
  <pageSetup horizontalDpi="300" verticalDpi="300" orientation="portrait" scale="18" r:id="rId2"/>
  <drawing r:id="rId1"/>
</worksheet>
</file>

<file path=xl/worksheets/sheet3.xml><?xml version="1.0" encoding="utf-8"?>
<worksheet xmlns="http://schemas.openxmlformats.org/spreadsheetml/2006/main" xmlns:r="http://schemas.openxmlformats.org/officeDocument/2006/relationships">
  <dimension ref="A1:AB204"/>
  <sheetViews>
    <sheetView view="pageBreakPreview" zoomScale="60" zoomScaleNormal="50" workbookViewId="0" topLeftCell="A1">
      <pane ySplit="36" topLeftCell="BM37" activePane="bottomLeft" state="frozen"/>
      <selection pane="topLeft" activeCell="F1" sqref="F1"/>
      <selection pane="bottomLeft" activeCell="B38" sqref="B38:C46"/>
    </sheetView>
  </sheetViews>
  <sheetFormatPr defaultColWidth="9.140625" defaultRowHeight="12.75"/>
  <cols>
    <col min="1" max="1" width="29.140625" style="7" customWidth="1"/>
    <col min="2" max="3" width="25.7109375" style="7" customWidth="1"/>
    <col min="4" max="7" width="20.7109375" style="7" customWidth="1"/>
    <col min="8" max="8" width="3.7109375" style="7" customWidth="1"/>
    <col min="9" max="9" width="20.7109375" style="1" customWidth="1"/>
    <col min="10" max="10" width="20.7109375" style="41" customWidth="1"/>
    <col min="11" max="11" width="20.7109375" style="4" customWidth="1"/>
    <col min="12" max="13" width="20.7109375" style="41" customWidth="1"/>
    <col min="14" max="14" width="20.7109375" style="4" customWidth="1"/>
    <col min="15" max="15" width="3.7109375" style="4" customWidth="1"/>
    <col min="16" max="16" width="25.7109375" style="4" customWidth="1"/>
    <col min="17" max="17" width="25.7109375" style="41" customWidth="1"/>
    <col min="18" max="18" width="3.7109375" style="41" customWidth="1"/>
    <col min="19" max="19" width="14.7109375" style="41" bestFit="1" customWidth="1"/>
    <col min="20" max="20" width="12.7109375" style="41" bestFit="1" customWidth="1"/>
    <col min="21" max="21" width="12.00390625" style="0" bestFit="1" customWidth="1"/>
    <col min="22" max="22" width="15.421875" style="0" bestFit="1" customWidth="1"/>
    <col min="23" max="23" width="18.421875" style="1" customWidth="1"/>
    <col min="24" max="24" width="18.7109375" style="1" customWidth="1"/>
    <col min="25" max="25" width="2.7109375" style="0" customWidth="1"/>
    <col min="26" max="26" width="15.140625" style="1" customWidth="1"/>
    <col min="27" max="27" width="17.140625" style="0" bestFit="1" customWidth="1"/>
    <col min="28" max="28" width="1.421875" style="0" customWidth="1"/>
    <col min="29" max="29" width="20.8515625" style="0" customWidth="1"/>
    <col min="30" max="30" width="10.8515625" style="0" customWidth="1"/>
  </cols>
  <sheetData>
    <row r="1" spans="1:26" s="17" customFormat="1" ht="54" customHeight="1" thickBot="1">
      <c r="A1" s="35" t="s">
        <v>157</v>
      </c>
      <c r="B1" s="35"/>
      <c r="C1" s="35"/>
      <c r="F1" s="36"/>
      <c r="G1" s="36"/>
      <c r="H1" s="36"/>
      <c r="I1" s="36"/>
      <c r="J1" s="80"/>
      <c r="K1" s="37"/>
      <c r="L1" s="80"/>
      <c r="M1" s="80"/>
      <c r="N1" s="38"/>
      <c r="O1" s="38"/>
      <c r="P1" s="38"/>
      <c r="Q1" s="80"/>
      <c r="R1" s="80"/>
      <c r="S1" s="80"/>
      <c r="T1" s="80"/>
      <c r="W1" s="36"/>
      <c r="X1" s="36"/>
      <c r="Z1" s="36"/>
    </row>
    <row r="2" spans="1:26" s="17" customFormat="1" ht="27" customHeight="1" thickBot="1" thickTop="1">
      <c r="A2" s="50" t="s">
        <v>108</v>
      </c>
      <c r="B2" s="282" t="str">
        <f>IF('Data Entry'!B8=0,"English (ft)","Metric (m)")</f>
        <v>English (ft)</v>
      </c>
      <c r="F2" s="36"/>
      <c r="G2" s="36"/>
      <c r="H2" s="36"/>
      <c r="I2" s="36"/>
      <c r="J2" s="80"/>
      <c r="K2" s="37"/>
      <c r="L2" s="80"/>
      <c r="M2" s="80"/>
      <c r="N2" s="38"/>
      <c r="O2" s="38"/>
      <c r="R2" s="80"/>
      <c r="S2" s="80"/>
      <c r="T2" s="80"/>
      <c r="W2" s="36"/>
      <c r="X2" s="36"/>
      <c r="Z2" s="36"/>
    </row>
    <row r="3" spans="1:26" s="17" customFormat="1" ht="14.25" customHeight="1" thickBot="1" thickTop="1">
      <c r="A3" s="397" t="s">
        <v>126</v>
      </c>
      <c r="B3" s="204">
        <v>1</v>
      </c>
      <c r="C3" s="398" t="s">
        <v>93</v>
      </c>
      <c r="D3" s="399"/>
      <c r="F3" s="36"/>
      <c r="G3" s="36"/>
      <c r="H3" s="36"/>
      <c r="I3" s="36"/>
      <c r="J3" s="80"/>
      <c r="K3" s="37"/>
      <c r="L3" s="80"/>
      <c r="M3" s="80"/>
      <c r="N3" s="38"/>
      <c r="O3" s="38"/>
      <c r="R3" s="80"/>
      <c r="S3" s="80"/>
      <c r="T3" s="80"/>
      <c r="W3" s="36"/>
      <c r="X3" s="36"/>
      <c r="Z3" s="36"/>
    </row>
    <row r="4" spans="1:25" ht="14.25" thickBot="1" thickTop="1">
      <c r="A4" s="397"/>
      <c r="B4" s="282" t="str">
        <f>IF(B3=0,"English (ft)","Metric (m)")</f>
        <v>Metric (m)</v>
      </c>
      <c r="E4" s="1"/>
      <c r="G4" s="1"/>
      <c r="H4" s="1"/>
      <c r="J4" s="42"/>
      <c r="N4" s="13"/>
      <c r="O4" s="13"/>
      <c r="W4" s="2"/>
      <c r="X4" s="2"/>
      <c r="Y4" s="3"/>
    </row>
    <row r="5" spans="1:25" ht="14.25" thickBot="1" thickTop="1">
      <c r="A5" s="50"/>
      <c r="C5" s="34"/>
      <c r="D5" s="34"/>
      <c r="E5" s="1"/>
      <c r="G5" s="1"/>
      <c r="H5" s="1"/>
      <c r="J5" s="42"/>
      <c r="N5" s="13"/>
      <c r="O5" s="13"/>
      <c r="W5" s="2"/>
      <c r="X5" s="2"/>
      <c r="Y5" s="3"/>
    </row>
    <row r="6" spans="1:25" ht="14.25" thickBot="1" thickTop="1">
      <c r="A6" s="50" t="s">
        <v>105</v>
      </c>
      <c r="B6" s="204">
        <v>0</v>
      </c>
      <c r="C6" s="400" t="s">
        <v>123</v>
      </c>
      <c r="D6" s="401"/>
      <c r="E6" s="5"/>
      <c r="F6" s="1"/>
      <c r="G6" s="1"/>
      <c r="H6" s="1"/>
      <c r="J6" s="42"/>
      <c r="K6" s="13"/>
      <c r="L6" s="42"/>
      <c r="M6" s="42"/>
      <c r="N6" s="13"/>
      <c r="O6" s="13"/>
      <c r="R6" s="42"/>
      <c r="S6" s="42"/>
      <c r="T6" s="42"/>
      <c r="Y6" s="1"/>
    </row>
    <row r="7" spans="1:20" ht="14.25" thickBot="1" thickTop="1">
      <c r="A7" s="50" t="s">
        <v>106</v>
      </c>
      <c r="B7" s="204">
        <v>0</v>
      </c>
      <c r="E7" s="1"/>
      <c r="F7" s="1"/>
      <c r="I7"/>
      <c r="J7" s="42"/>
      <c r="K7" s="13"/>
      <c r="L7" s="42"/>
      <c r="M7" s="42"/>
      <c r="N7" s="13"/>
      <c r="O7" s="13"/>
      <c r="R7" s="42"/>
      <c r="S7" s="42"/>
      <c r="T7" s="42"/>
    </row>
    <row r="8" spans="1:20" ht="14.25" thickBot="1" thickTop="1">
      <c r="A8" s="50" t="s">
        <v>107</v>
      </c>
      <c r="B8" s="204">
        <v>0</v>
      </c>
      <c r="I8"/>
      <c r="J8" s="42"/>
      <c r="K8" s="13"/>
      <c r="L8" s="42"/>
      <c r="M8" s="42"/>
      <c r="N8" s="13"/>
      <c r="O8" s="13"/>
      <c r="R8" s="42"/>
      <c r="S8" s="42"/>
      <c r="T8" s="42"/>
    </row>
    <row r="9" spans="1:20" ht="14.25" thickBot="1" thickTop="1">
      <c r="A9" s="51"/>
      <c r="I9"/>
      <c r="J9" s="42"/>
      <c r="K9" s="13"/>
      <c r="L9" s="42"/>
      <c r="M9" s="42"/>
      <c r="N9" s="13"/>
      <c r="O9" s="13"/>
      <c r="R9" s="42"/>
      <c r="S9" s="42"/>
      <c r="T9" s="42"/>
    </row>
    <row r="10" spans="1:20" ht="14.25" thickBot="1" thickTop="1">
      <c r="A10" s="51"/>
      <c r="B10" s="271" t="s">
        <v>98</v>
      </c>
      <c r="C10" s="272" t="s">
        <v>99</v>
      </c>
      <c r="H10" s="84"/>
      <c r="I10"/>
      <c r="J10" s="42"/>
      <c r="K10" s="13"/>
      <c r="L10" s="42"/>
      <c r="M10" s="42"/>
      <c r="N10" s="13"/>
      <c r="O10" s="13"/>
      <c r="R10" s="42"/>
      <c r="S10" s="42"/>
      <c r="T10" s="42"/>
    </row>
    <row r="11" spans="1:20" ht="12.75">
      <c r="A11" s="50" t="s">
        <v>125</v>
      </c>
      <c r="B11" s="264">
        <f>F37</f>
        <v>0</v>
      </c>
      <c r="C11" s="270">
        <f>G37</f>
        <v>0</v>
      </c>
      <c r="D11" s="21"/>
      <c r="H11" s="1"/>
      <c r="J11" s="42"/>
      <c r="K11" s="13"/>
      <c r="L11" s="42"/>
      <c r="M11" s="42"/>
      <c r="N11" s="13"/>
      <c r="O11" s="13"/>
      <c r="R11" s="42"/>
      <c r="S11" s="42"/>
      <c r="T11" s="42"/>
    </row>
    <row r="12" spans="1:20" ht="12.75">
      <c r="A12" s="50" t="s">
        <v>76</v>
      </c>
      <c r="B12" s="209">
        <f ca="1">OFFSET(F38,COUNT(F38:F137)-1,0)</f>
        <v>0</v>
      </c>
      <c r="C12" s="210">
        <f ca="1">OFFSET(G38,COUNT(G38:G137)-1,0)</f>
        <v>0</v>
      </c>
      <c r="J12" s="42"/>
      <c r="K12" s="13"/>
      <c r="L12" s="42"/>
      <c r="M12" s="42"/>
      <c r="N12" s="13"/>
      <c r="O12" s="13"/>
      <c r="Q12" s="42"/>
      <c r="R12" s="42"/>
      <c r="S12" s="42"/>
      <c r="T12" s="42"/>
    </row>
    <row r="13" spans="1:20" ht="13.5" thickBot="1">
      <c r="A13" s="50" t="s">
        <v>77</v>
      </c>
      <c r="B13" s="211">
        <f ca="1">OFFSET(M38,COUNT(M38:M137)-1,0)</f>
        <v>0</v>
      </c>
      <c r="C13" s="212">
        <f ca="1">OFFSET(N38,COUNT(N38:N137)-1,0)</f>
        <v>0</v>
      </c>
      <c r="D13" s="21"/>
      <c r="H13" s="55"/>
      <c r="J13" s="42"/>
      <c r="K13" s="13"/>
      <c r="L13" s="42"/>
      <c r="M13" s="42"/>
      <c r="N13" s="13"/>
      <c r="O13" s="13"/>
      <c r="Q13" s="42"/>
      <c r="R13" s="42"/>
      <c r="S13" s="42"/>
      <c r="T13" s="42"/>
    </row>
    <row r="14" spans="1:20" ht="14.25" thickBot="1" thickTop="1">
      <c r="A14" s="15"/>
      <c r="B14" s="44"/>
      <c r="C14" s="44"/>
      <c r="D14" s="21"/>
      <c r="H14" s="46"/>
      <c r="J14" s="42"/>
      <c r="K14" s="13"/>
      <c r="L14" s="42"/>
      <c r="M14" s="42"/>
      <c r="N14" s="13"/>
      <c r="O14" s="13"/>
      <c r="Q14" s="42"/>
      <c r="R14" s="42"/>
      <c r="S14" s="42"/>
      <c r="T14" s="42"/>
    </row>
    <row r="15" spans="1:20" ht="14.25" thickBot="1" thickTop="1">
      <c r="A15" s="1"/>
      <c r="B15" s="1"/>
      <c r="C15" s="273" t="s">
        <v>92</v>
      </c>
      <c r="D15" s="21"/>
      <c r="E15" s="15"/>
      <c r="F15" s="86"/>
      <c r="G15" s="55"/>
      <c r="H15" s="46"/>
      <c r="J15" s="42"/>
      <c r="K15" s="13"/>
      <c r="L15" s="42"/>
      <c r="M15" s="42"/>
      <c r="N15" s="13"/>
      <c r="O15" s="13"/>
      <c r="Q15" s="42"/>
      <c r="R15" s="42"/>
      <c r="S15" s="42"/>
      <c r="T15" s="42"/>
    </row>
    <row r="16" spans="1:20" ht="13.5" thickTop="1">
      <c r="A16" s="397" t="s">
        <v>83</v>
      </c>
      <c r="B16" s="213">
        <f>ABS((SUM(P37:P137)-SUM(Q37:Q137)))/2</f>
        <v>0</v>
      </c>
      <c r="C16" s="214" t="str">
        <f>IF($B$3=0,"ft^2","m^2")</f>
        <v>m^2</v>
      </c>
      <c r="D16" s="21"/>
      <c r="E16" s="15"/>
      <c r="F16" s="86"/>
      <c r="G16" s="55"/>
      <c r="H16" s="46"/>
      <c r="J16" s="42"/>
      <c r="K16" s="13"/>
      <c r="L16" s="42"/>
      <c r="M16" s="42"/>
      <c r="N16" s="13"/>
      <c r="O16" s="13"/>
      <c r="Q16" s="42"/>
      <c r="R16" s="42"/>
      <c r="S16" s="42"/>
      <c r="T16" s="42"/>
    </row>
    <row r="17" spans="1:20" ht="12.75">
      <c r="A17" s="397"/>
      <c r="B17" s="215">
        <f>IF($B$3=0,B16/43560,B16/10000)</f>
        <v>0</v>
      </c>
      <c r="C17" s="214" t="str">
        <f>IF($B$3=0,"acres","hectares")</f>
        <v>hectares</v>
      </c>
      <c r="D17" s="21"/>
      <c r="E17" s="15"/>
      <c r="F17" s="86"/>
      <c r="G17" s="55"/>
      <c r="H17" s="46"/>
      <c r="J17" s="42"/>
      <c r="K17" s="13"/>
      <c r="L17" s="42"/>
      <c r="M17" s="42"/>
      <c r="N17" s="13"/>
      <c r="O17" s="13"/>
      <c r="Q17" s="42"/>
      <c r="R17" s="42"/>
      <c r="S17" s="42"/>
      <c r="T17" s="42"/>
    </row>
    <row r="18" spans="1:20" ht="28.5" customHeight="1" thickBot="1">
      <c r="A18" s="98" t="s">
        <v>109</v>
      </c>
      <c r="B18" s="216">
        <f>SUM(I37:I137)</f>
        <v>0</v>
      </c>
      <c r="C18" s="217" t="str">
        <f>IF($B$3=0,"ft","m")</f>
        <v>m</v>
      </c>
      <c r="D18" s="21"/>
      <c r="E18" s="15"/>
      <c r="F18" s="86"/>
      <c r="G18" s="55"/>
      <c r="H18" s="46"/>
      <c r="J18" s="42"/>
      <c r="K18" s="13"/>
      <c r="L18" s="42"/>
      <c r="M18" s="42"/>
      <c r="N18" s="13"/>
      <c r="O18" s="13"/>
      <c r="Q18" s="42"/>
      <c r="R18" s="42"/>
      <c r="S18" s="42"/>
      <c r="T18" s="42"/>
    </row>
    <row r="19" spans="4:20" ht="14.25" thickBot="1" thickTop="1">
      <c r="D19" s="21"/>
      <c r="E19" s="15"/>
      <c r="F19" s="86"/>
      <c r="G19" s="55"/>
      <c r="H19" s="46"/>
      <c r="J19" s="42"/>
      <c r="K19" s="13"/>
      <c r="L19" s="42"/>
      <c r="M19" s="42"/>
      <c r="N19" s="13"/>
      <c r="O19" s="13"/>
      <c r="Q19" s="42"/>
      <c r="R19" s="42"/>
      <c r="S19" s="42"/>
      <c r="T19" s="42"/>
    </row>
    <row r="20" spans="1:20" ht="28.5" customHeight="1" thickBot="1" thickTop="1">
      <c r="A20" s="50" t="s">
        <v>135</v>
      </c>
      <c r="B20" s="218">
        <f>COUNT(I38:I137)</f>
        <v>0</v>
      </c>
      <c r="D20" s="21"/>
      <c r="E20" s="15"/>
      <c r="F20" s="86"/>
      <c r="G20" s="55"/>
      <c r="H20" s="46"/>
      <c r="J20" s="42"/>
      <c r="K20" s="13"/>
      <c r="L20" s="42"/>
      <c r="M20" s="42"/>
      <c r="N20" s="13"/>
      <c r="O20" s="13"/>
      <c r="Q20" s="42"/>
      <c r="R20" s="42"/>
      <c r="S20" s="42"/>
      <c r="T20" s="42"/>
    </row>
    <row r="21" spans="4:20" ht="14.25" thickBot="1" thickTop="1">
      <c r="D21" s="21"/>
      <c r="E21" s="15"/>
      <c r="F21" s="86"/>
      <c r="G21" s="55"/>
      <c r="H21" s="46"/>
      <c r="J21" s="42"/>
      <c r="K21" s="13"/>
      <c r="L21" s="42"/>
      <c r="M21" s="42"/>
      <c r="N21" s="13"/>
      <c r="O21" s="13"/>
      <c r="Q21" s="42"/>
      <c r="R21" s="42"/>
      <c r="S21" s="42"/>
      <c r="T21" s="42"/>
    </row>
    <row r="22" spans="1:20" ht="28.5" customHeight="1" thickTop="1">
      <c r="A22" s="85" t="s">
        <v>75</v>
      </c>
      <c r="B22" s="219">
        <f>SQRT(SUM(D37:D137)^2+SUM(E37:E137)^2)</f>
        <v>0</v>
      </c>
      <c r="C22" s="220" t="str">
        <f>IF($B$3=0,"ft","m")</f>
        <v>m</v>
      </c>
      <c r="D22" s="21"/>
      <c r="E22" s="15"/>
      <c r="F22" s="86"/>
      <c r="G22" s="55"/>
      <c r="H22" s="46"/>
      <c r="J22" s="42"/>
      <c r="K22" s="13"/>
      <c r="L22" s="42"/>
      <c r="M22" s="42"/>
      <c r="N22" s="13"/>
      <c r="O22" s="13"/>
      <c r="Q22" s="42"/>
      <c r="R22" s="42"/>
      <c r="S22" s="42"/>
      <c r="T22" s="42"/>
    </row>
    <row r="23" spans="1:20" ht="28.5" customHeight="1" thickBot="1">
      <c r="A23" s="15" t="s">
        <v>89</v>
      </c>
      <c r="B23" s="221">
        <f>IF(ISERROR(B22/B18),"",B22/B18)</f>
      </c>
      <c r="C23" s="222">
        <f>IF(B23=0,"1/0",IF(ISERROR(1/B23),"",1/B23))</f>
      </c>
      <c r="F23" s="53"/>
      <c r="J23" s="42"/>
      <c r="K23" s="13"/>
      <c r="L23" s="42"/>
      <c r="M23" s="42"/>
      <c r="N23" s="13"/>
      <c r="O23" s="13"/>
      <c r="Q23" s="42"/>
      <c r="R23" s="42"/>
      <c r="S23" s="42"/>
      <c r="T23" s="42"/>
    </row>
    <row r="24" spans="10:20" ht="14.25" thickBot="1" thickTop="1">
      <c r="J24" s="42"/>
      <c r="K24" s="13"/>
      <c r="L24" s="42"/>
      <c r="M24" s="42"/>
      <c r="N24" s="13"/>
      <c r="O24" s="13"/>
      <c r="Q24" s="42"/>
      <c r="R24" s="42"/>
      <c r="S24" s="42"/>
      <c r="T24" s="42"/>
    </row>
    <row r="25" spans="1:20" ht="16.5" thickTop="1">
      <c r="A25" s="392" t="s">
        <v>112</v>
      </c>
      <c r="B25" s="393"/>
      <c r="C25" s="393"/>
      <c r="D25" s="394"/>
      <c r="F25" s="55"/>
      <c r="I25" s="2"/>
      <c r="J25" s="42"/>
      <c r="K25" s="13"/>
      <c r="L25" s="42"/>
      <c r="M25" s="42"/>
      <c r="N25" s="13"/>
      <c r="O25" s="13"/>
      <c r="Q25" s="42"/>
      <c r="R25" s="42"/>
      <c r="S25" s="42"/>
      <c r="T25" s="42"/>
    </row>
    <row r="26" spans="1:20" ht="13.5" thickBot="1">
      <c r="A26" s="395"/>
      <c r="B26" s="396"/>
      <c r="C26" s="280" t="s">
        <v>166</v>
      </c>
      <c r="D26" s="281"/>
      <c r="F26" s="55"/>
      <c r="I26" s="2"/>
      <c r="J26" s="42"/>
      <c r="K26" s="13"/>
      <c r="L26" s="42"/>
      <c r="M26" s="42"/>
      <c r="N26" s="13"/>
      <c r="O26" s="13"/>
      <c r="Q26" s="42"/>
      <c r="R26" s="42"/>
      <c r="S26" s="42"/>
      <c r="T26" s="42"/>
    </row>
    <row r="27" spans="1:20" ht="14.25" thickBot="1" thickTop="1">
      <c r="A27" s="381" t="s">
        <v>78</v>
      </c>
      <c r="B27" s="382"/>
      <c r="C27" s="224" t="s">
        <v>165</v>
      </c>
      <c r="D27" s="225">
        <f>IF($B$23&lt;=(1/100000),"&lt;--- This Traverse","")</f>
      </c>
      <c r="J27" s="42"/>
      <c r="K27" s="13"/>
      <c r="L27" s="42"/>
      <c r="M27" s="42"/>
      <c r="N27" s="13"/>
      <c r="O27" s="13"/>
      <c r="P27" s="362" t="s">
        <v>91</v>
      </c>
      <c r="Q27" s="363"/>
      <c r="R27" s="42"/>
      <c r="S27" s="42"/>
      <c r="T27" s="42"/>
    </row>
    <row r="28" spans="1:20" ht="13.5" thickTop="1">
      <c r="A28" s="381" t="s">
        <v>79</v>
      </c>
      <c r="B28" s="382"/>
      <c r="C28" s="224" t="s">
        <v>113</v>
      </c>
      <c r="D28" s="225">
        <f>IF(AND($B$23&lt;=(1/50000),$B$23&gt;(1/100000)),"&lt;--- This Traverse","")</f>
      </c>
      <c r="J28" s="42"/>
      <c r="K28" s="13"/>
      <c r="L28" s="42"/>
      <c r="M28" s="42"/>
      <c r="N28" s="13"/>
      <c r="O28" s="13"/>
      <c r="P28" s="246" t="s">
        <v>90</v>
      </c>
      <c r="Q28" s="178">
        <v>0</v>
      </c>
      <c r="R28" s="42"/>
      <c r="S28" s="42"/>
      <c r="T28" s="42"/>
    </row>
    <row r="29" spans="1:20" ht="12.75">
      <c r="A29" s="381" t="s">
        <v>80</v>
      </c>
      <c r="B29" s="382"/>
      <c r="C29" s="224" t="s">
        <v>114</v>
      </c>
      <c r="D29" s="225">
        <f>IF(AND($B$23&lt;=(1/20000),$B$23&gt;(1/50000)),"&lt;--- This Traverse","")</f>
      </c>
      <c r="G29" s="52"/>
      <c r="H29" s="52"/>
      <c r="J29" s="42"/>
      <c r="K29" s="13"/>
      <c r="L29" s="42"/>
      <c r="M29" s="42"/>
      <c r="N29" s="13"/>
      <c r="O29" s="13"/>
      <c r="P29" s="247" t="s">
        <v>47</v>
      </c>
      <c r="Q29" s="179">
        <v>0</v>
      </c>
      <c r="R29" s="42"/>
      <c r="S29" s="42"/>
      <c r="T29" s="42"/>
    </row>
    <row r="30" spans="1:20" ht="12.75">
      <c r="A30" s="381" t="s">
        <v>81</v>
      </c>
      <c r="B30" s="382"/>
      <c r="C30" s="224" t="s">
        <v>115</v>
      </c>
      <c r="D30" s="225">
        <f>IF(AND($B$23&lt;=(1/10000),$B$23&gt;(1/20000)),"&lt;--- This Traverse","")</f>
      </c>
      <c r="J30" s="42"/>
      <c r="K30" s="13"/>
      <c r="L30" s="42"/>
      <c r="M30" s="42"/>
      <c r="N30" s="13"/>
      <c r="O30" s="13"/>
      <c r="P30" s="247" t="s">
        <v>48</v>
      </c>
      <c r="Q30" s="179">
        <v>0</v>
      </c>
      <c r="R30" s="42"/>
      <c r="S30" s="42"/>
      <c r="T30" s="42"/>
    </row>
    <row r="31" spans="1:20" ht="12.75">
      <c r="A31" s="381" t="s">
        <v>82</v>
      </c>
      <c r="B31" s="382"/>
      <c r="C31" s="224" t="s">
        <v>116</v>
      </c>
      <c r="D31" s="225">
        <f>IF(AND($B$23&lt;=(1/5000),$B$23&gt;(1/10000)),"&lt;--- This Traverse","")</f>
      </c>
      <c r="J31" s="42"/>
      <c r="K31" s="13"/>
      <c r="L31" s="42"/>
      <c r="M31" s="42"/>
      <c r="N31" s="13"/>
      <c r="O31" s="13"/>
      <c r="P31" s="248" t="s">
        <v>87</v>
      </c>
      <c r="Q31" s="179">
        <v>20</v>
      </c>
      <c r="R31" s="42"/>
      <c r="S31" s="42"/>
      <c r="T31" s="42"/>
    </row>
    <row r="32" spans="1:20" ht="13.5" thickBot="1">
      <c r="A32" s="383" t="s">
        <v>167</v>
      </c>
      <c r="B32" s="383"/>
      <c r="C32" s="226" t="s">
        <v>117</v>
      </c>
      <c r="D32" s="227">
        <f>IF(AND(ISNUMBER($B$23),$B$23&gt;(1/5000)),"&lt;--- This Traverse","")</f>
      </c>
      <c r="J32" s="42"/>
      <c r="K32" s="13"/>
      <c r="L32" s="42"/>
      <c r="M32" s="42"/>
      <c r="N32" s="13"/>
      <c r="O32" s="13"/>
      <c r="P32" s="249" t="s">
        <v>88</v>
      </c>
      <c r="Q32" s="180">
        <v>0.25</v>
      </c>
      <c r="R32" s="42"/>
      <c r="S32" s="42"/>
      <c r="T32" s="42"/>
    </row>
    <row r="33" spans="1:20" ht="14.25" thickBot="1" thickTop="1">
      <c r="A33" s="47"/>
      <c r="B33" s="6"/>
      <c r="C33" s="48"/>
      <c r="D33" s="49"/>
      <c r="J33" s="42"/>
      <c r="K33" s="13"/>
      <c r="L33" s="42"/>
      <c r="M33" s="42"/>
      <c r="N33" s="13"/>
      <c r="O33" s="13"/>
      <c r="Q33" s="42"/>
      <c r="R33" s="42"/>
      <c r="S33" s="42"/>
      <c r="T33" s="42"/>
    </row>
    <row r="34" spans="1:26" ht="18.75" thickTop="1">
      <c r="A34" s="384" t="s">
        <v>4</v>
      </c>
      <c r="B34" s="387" t="s">
        <v>155</v>
      </c>
      <c r="C34" s="388"/>
      <c r="D34" s="388"/>
      <c r="E34" s="388"/>
      <c r="F34" s="388"/>
      <c r="G34" s="389"/>
      <c r="H34" s="81"/>
      <c r="I34" s="390" t="s">
        <v>156</v>
      </c>
      <c r="J34" s="390"/>
      <c r="K34" s="390"/>
      <c r="L34" s="390"/>
      <c r="M34" s="390"/>
      <c r="N34" s="390"/>
      <c r="O34" s="87"/>
      <c r="P34" s="364" t="s">
        <v>86</v>
      </c>
      <c r="Q34" s="365"/>
      <c r="R34"/>
      <c r="S34" s="368" t="s">
        <v>49</v>
      </c>
      <c r="T34" s="365"/>
      <c r="W34"/>
      <c r="X34"/>
      <c r="Z34"/>
    </row>
    <row r="35" spans="1:26" ht="12.75">
      <c r="A35" s="385"/>
      <c r="B35" s="371" t="s">
        <v>5</v>
      </c>
      <c r="C35" s="373" t="s">
        <v>1</v>
      </c>
      <c r="D35" s="371" t="s">
        <v>72</v>
      </c>
      <c r="E35" s="375" t="s">
        <v>74</v>
      </c>
      <c r="F35" s="377" t="s">
        <v>73</v>
      </c>
      <c r="G35" s="378"/>
      <c r="H35" s="82"/>
      <c r="I35" s="379" t="s">
        <v>5</v>
      </c>
      <c r="J35" s="375" t="s">
        <v>1</v>
      </c>
      <c r="K35" s="371" t="s">
        <v>72</v>
      </c>
      <c r="L35" s="375" t="s">
        <v>74</v>
      </c>
      <c r="M35" s="391" t="s">
        <v>73</v>
      </c>
      <c r="N35" s="378"/>
      <c r="O35" s="82"/>
      <c r="P35" s="366"/>
      <c r="Q35" s="367"/>
      <c r="R35"/>
      <c r="S35" s="369"/>
      <c r="T35" s="370"/>
      <c r="W35"/>
      <c r="X35"/>
      <c r="Z35"/>
    </row>
    <row r="36" spans="1:26" ht="13.5" thickBot="1">
      <c r="A36" s="386"/>
      <c r="B36" s="372"/>
      <c r="C36" s="374"/>
      <c r="D36" s="372"/>
      <c r="E36" s="376"/>
      <c r="F36" s="228" t="s">
        <v>98</v>
      </c>
      <c r="G36" s="229" t="s">
        <v>99</v>
      </c>
      <c r="H36" s="82"/>
      <c r="I36" s="380"/>
      <c r="J36" s="376"/>
      <c r="K36" s="372"/>
      <c r="L36" s="376"/>
      <c r="M36" s="240" t="s">
        <v>98</v>
      </c>
      <c r="N36" s="241" t="s">
        <v>99</v>
      </c>
      <c r="O36" s="82"/>
      <c r="P36" s="250" t="s">
        <v>84</v>
      </c>
      <c r="Q36" s="252" t="s">
        <v>85</v>
      </c>
      <c r="R36"/>
      <c r="S36" s="250" t="s">
        <v>103</v>
      </c>
      <c r="T36" s="251" t="s">
        <v>104</v>
      </c>
      <c r="W36"/>
      <c r="X36"/>
      <c r="Z36"/>
    </row>
    <row r="37" spans="1:26" ht="13.5" thickTop="1">
      <c r="A37" s="230" t="s">
        <v>15</v>
      </c>
      <c r="B37" s="231" t="str">
        <f>IF(ISNUMBER('Data Entry'!$Q16),'Data Entry'!B16,"")</f>
        <v>N/A</v>
      </c>
      <c r="C37" s="232" t="str">
        <f>IF(ISNUMBER('Data Entry'!$Q16),'Data Entry'!H16,"")</f>
        <v>N/A</v>
      </c>
      <c r="D37" s="61" t="s">
        <v>16</v>
      </c>
      <c r="E37" s="61" t="s">
        <v>16</v>
      </c>
      <c r="F37" s="234">
        <f>IF(('Data Entry'!Q16=""),"",IF(($B$3='Data Entry'!$B$8),'Data Entry'!Q16+$B$7,IF(AND($B$3=0,'Data Entry'!$B$8=1),'Data Entry'!Q16/'Data Entry'!$B$9+$B$7,IF(AND($B$3=1,'Data Entry'!$B$8=0),'Data Entry'!Q16*'Data Entry'!$B$9+$B$7,"Conv. Error"))))</f>
        <v>0</v>
      </c>
      <c r="G37" s="234">
        <f>IF(('Data Entry'!R16=""),"",IF(($B$3='Data Entry'!$B$8),'Data Entry'!R16+$B$8,IF(AND($B$3=0,'Data Entry'!$B$8=1),'Data Entry'!R16/'Data Entry'!$B$9+$B$8,IF(AND($B$3=1,'Data Entry'!$B$8=0),'Data Entry'!R16*'Data Entry'!$B$9+$B$8,"Conv. Error"))))</f>
        <v>0</v>
      </c>
      <c r="H37" s="82"/>
      <c r="I37" s="242" t="s">
        <v>16</v>
      </c>
      <c r="J37" s="242" t="s">
        <v>16</v>
      </c>
      <c r="K37" s="243" t="s">
        <v>16</v>
      </c>
      <c r="L37" s="244" t="s">
        <v>16</v>
      </c>
      <c r="M37" s="245">
        <f>F37</f>
        <v>0</v>
      </c>
      <c r="N37" s="245">
        <f>G37</f>
        <v>0</v>
      </c>
      <c r="O37" s="27"/>
      <c r="P37" s="253">
        <f>IF(ISERROR(M37*N38),"",(M37*N38))</f>
      </c>
      <c r="Q37" s="254">
        <f>IF(ISERROR(N37*M38),"",(N37*M38))</f>
      </c>
      <c r="R37"/>
      <c r="S37" s="181">
        <f>$Q$29+MIN($F:$F)+((MAX($F:$F)-MIN($F:$F))/2)</f>
        <v>0</v>
      </c>
      <c r="T37" s="182">
        <f>$Q$30+MIN($G:$G)+((MAX($G:$G)-MIN($G:$G))/2)</f>
        <v>0</v>
      </c>
      <c r="U37" s="17"/>
      <c r="V37" s="24"/>
      <c r="W37" s="24"/>
      <c r="X37"/>
      <c r="Z37"/>
    </row>
    <row r="38" spans="1:26" ht="12.75">
      <c r="A38" s="235">
        <f>IF(ISNUMBER('Data Entry'!$Q17),'Data Entry'!A17,"")</f>
      </c>
      <c r="B38" s="234">
        <f>IF(ISNUMBER('Data Entry'!$Q17),IF($B$3='Data Entry'!$B$8,'Data Entry'!L17,IF(AND($B$3=0,'Data Entry'!$B$8=1),'Data Entry'!L17/'Data Entry'!$B$9,IF(AND($B$3=1,'Data Entry'!$B$8=0),'Data Entry'!L17*'Data Entry'!$B$9,"Conversion Error"))),"")</f>
      </c>
      <c r="C38" s="234">
        <f>IF(ISNUMBER('Data Entry'!$Q17),IF(ISNUMBER('Data Entry'!$M17),'Data Entry'!$M17,IF(ISNUMBER('Data Entry'!$N17),'Data Entry'!$N17,"Error")),"")</f>
      </c>
      <c r="D38" s="236">
        <f>IF('Data Entry'!$Q17="","",IF(ISERROR($B38*COS(((360-$B$6)-$C38+90)*PI()/180)),"Error",$B38*COS(((360-$B$6)-$C38+90)*PI()/180)))</f>
      </c>
      <c r="E38" s="237">
        <f>IF('Data Entry'!$Q17="","",IF(ISERROR($B38*SIN(((360-$B$6)-$C38+90)*PI()/180)),"Error",$B38*SIN(((360-$B$6)-$C38+90)*PI()/180)))</f>
      </c>
      <c r="F38" s="234">
        <f>IF(ISERROR(F37+D38),"",F37+D38)</f>
      </c>
      <c r="G38" s="234">
        <f>IF(ISERROR(G37+E38),"",G37+E38)</f>
      </c>
      <c r="H38" s="83"/>
      <c r="I38" s="245">
        <f>IF(ISERROR(SQRT(K38^2+L38^2)),"",(SQRT(K38^2+L38^2)))</f>
      </c>
      <c r="J38" s="245">
        <f aca="true" t="shared" si="0" ref="J38:J69">IF(K38="","",IF(AND($K38&gt;0,$L38&gt;0),(360-ATAN($L38/$K38)*180/PI()+360-$B$6+90)-(360*(INT((360-ATAN($L38/$K38)*180/PI()+360-$B$6+90)/360))),(IF(AND($K38&gt;0,$L38&lt;0),(0-ATAN($L38/$K38)*180/PI()+360-$B$6+90)-(360*(INT((0-ATAN($L38/$K38)*180/PI()+360-$B$6+90)/360))),(IF(AND($K38&lt;0,$L38&lt;0),(180-ATAN($L38/$K38)*180/PI()+360-$B$6+90)-(360*(INT((180-ATAN($L38/$K38)*180/PI()+360-$B$6+90)/360))),(180-ATAN($L38/$K38)*180/PI()+360-$B$6+90)-(360*(INT((180-ATAN($L38/$K38)*180/PI()+360-$B$6+90)/360)))))))))</f>
      </c>
      <c r="K38" s="188">
        <f>IF(ISERROR((D38-((SUM(D$38:D$137)/SUM($B$38:$B$137))*$B38))),"",(D38-((SUM(D$38:D$137)/SUM($B$38:$B$137))*$B38)))</f>
      </c>
      <c r="L38" s="187">
        <f>IF(ISERROR((E38-((SUM(E$38:E$137)/SUM($B$38:$B$137))*$B38))),"",(E38-((SUM(E$38:E$137)/SUM($B$38:$B$137))*$B38)))</f>
      </c>
      <c r="M38" s="245">
        <f>IF(ISERROR(M37+K38),"",(M37+K38))</f>
      </c>
      <c r="N38" s="245">
        <f>IF(ISERROR(N37+L38),"",(N37+L38))</f>
      </c>
      <c r="O38" s="83"/>
      <c r="P38" s="253">
        <f aca="true" t="shared" si="1" ref="P38:P83">IF(ISERROR(M38*N39),"",(M38*N39))</f>
      </c>
      <c r="Q38" s="254">
        <f>IF(ISERROR(N38*M39),"",(N38*M39))</f>
      </c>
      <c r="R38"/>
      <c r="S38" s="181">
        <f>S37+(1-$Q$32)*($Q$28+(0.5*(MAX($F:$F)-MIN($F:$F))/2))*COS(((360-$B$6)+90)*PI()/180)</f>
        <v>0</v>
      </c>
      <c r="T38" s="182">
        <f>T37+(1-$Q$32)*($Q$28+0.5*(MAX($G:$G)-MIN($G:$G))/2)*SIN(((360-$B$6)+90)*PI()/180)</f>
        <v>0</v>
      </c>
      <c r="U38" s="17"/>
      <c r="V38" s="24"/>
      <c r="W38" s="24"/>
      <c r="X38"/>
      <c r="Z38"/>
    </row>
    <row r="39" spans="1:26" ht="12.75">
      <c r="A39" s="235">
        <f>IF(ISNUMBER('Data Entry'!$Q18),'Data Entry'!A18,"")</f>
      </c>
      <c r="B39" s="234">
        <f>IF(ISNUMBER('Data Entry'!$Q18),IF($B$3='Data Entry'!$B$8,'Data Entry'!L18,IF(AND($B$3=0,'Data Entry'!$B$8=1),'Data Entry'!L18/'Data Entry'!$B$9,IF(AND($B$3=1,'Data Entry'!$B$8=0),'Data Entry'!L18*'Data Entry'!$B$9,"Conversion Error"))),"")</f>
      </c>
      <c r="C39" s="234">
        <f>IF(ISNUMBER('Data Entry'!$Q18),IF(ISNUMBER('Data Entry'!$M18),'Data Entry'!$M18,IF(ISNUMBER('Data Entry'!$N18),'Data Entry'!$N18,"Error")),"")</f>
      </c>
      <c r="D39" s="236">
        <f>IF('Data Entry'!$Q18="","",IF(ISERROR($B39*COS(((360-$B$6)-$C39+90)*PI()/180)),"Error",$B39*COS(((360-$B$6)-$C39+90)*PI()/180)))</f>
      </c>
      <c r="E39" s="237">
        <f>IF('Data Entry'!$Q18="","",IF(ISERROR($B39*SIN(((360-$B$6)-$C39+90)*PI()/180)),"Error",$B39*SIN(((360-$B$6)-$C39+90)*PI()/180)))</f>
      </c>
      <c r="F39" s="234">
        <f aca="true" t="shared" si="2" ref="F39:G102">IF(ISERROR(F38+D39),"",F38+D39)</f>
      </c>
      <c r="G39" s="234">
        <f t="shared" si="2"/>
      </c>
      <c r="H39" s="83"/>
      <c r="I39" s="245">
        <f aca="true" t="shared" si="3" ref="I39:I84">IF(ISERROR(SQRT(K39^2+L39^2)),"",(SQRT(K39^2+L39^2)))</f>
      </c>
      <c r="J39" s="245">
        <f t="shared" si="0"/>
      </c>
      <c r="K39" s="188">
        <f aca="true" t="shared" si="4" ref="K39:K102">IF(ISERROR((D39-((SUM(D$38:D$137)/SUM($B$38:$B$137))*$B39))),"",(D39-((SUM(D$38:D$137)/SUM($B$38:$B$137))*$B39)))</f>
      </c>
      <c r="L39" s="187">
        <f aca="true" t="shared" si="5" ref="L39:L102">IF(ISERROR((E39-((SUM(E$38:E$137)/SUM($B$38:$B$137))*$B39))),"",(E39-((SUM(E$38:E$137)/SUM($B$38:$B$137))*$B39)))</f>
      </c>
      <c r="M39" s="245">
        <f>IF(ISERROR(M38+K39),"",(M38+K39))</f>
      </c>
      <c r="N39" s="245">
        <f>IF(ISERROR(N38+L39),"",(N38+L39))</f>
      </c>
      <c r="O39" s="83"/>
      <c r="P39" s="253">
        <f t="shared" si="1"/>
      </c>
      <c r="Q39" s="254">
        <f>IF(ISERROR(N39*M40),"",(N39*M40))</f>
      </c>
      <c r="R39"/>
      <c r="S39" s="181">
        <f>S38+($Q$31/2)*SIN((180-((360-$B$6)+90))*PI()/180)</f>
        <v>10</v>
      </c>
      <c r="T39" s="182">
        <f>T38+($Q$31/2)*COS((180-((360-$B$6)+90))*PI()/180)</f>
        <v>-1.83772268236293E-15</v>
      </c>
      <c r="U39" s="17"/>
      <c r="V39" s="24"/>
      <c r="W39" s="24"/>
      <c r="X39"/>
      <c r="Z39"/>
    </row>
    <row r="40" spans="1:26" ht="12.75">
      <c r="A40" s="235">
        <f>IF(ISNUMBER('Data Entry'!$Q19),'Data Entry'!A19,"")</f>
      </c>
      <c r="B40" s="234">
        <f>IF(ISNUMBER('Data Entry'!$Q19),IF($B$3='Data Entry'!$B$8,'Data Entry'!L19,IF(AND($B$3=0,'Data Entry'!$B$8=1),'Data Entry'!L19/'Data Entry'!$B$9,IF(AND($B$3=1,'Data Entry'!$B$8=0),'Data Entry'!L19*'Data Entry'!$B$9,"Conversion Error"))),"")</f>
      </c>
      <c r="C40" s="234">
        <f>IF(ISNUMBER('Data Entry'!$Q19),IF(ISNUMBER('Data Entry'!$M19),'Data Entry'!$M19,IF(ISNUMBER('Data Entry'!$N19),'Data Entry'!$N19,"Error")),"")</f>
      </c>
      <c r="D40" s="236">
        <f>IF('Data Entry'!$Q19="","",IF(ISERROR($B40*COS(((360-$B$6)-$C40+90)*PI()/180)),"Error",$B40*COS(((360-$B$6)-$C40+90)*PI()/180)))</f>
      </c>
      <c r="E40" s="237">
        <f>IF('Data Entry'!$Q19="","",IF(ISERROR($B40*SIN(((360-$B$6)-$C40+90)*PI()/180)),"Error",$B40*SIN(((360-$B$6)-$C40+90)*PI()/180)))</f>
      </c>
      <c r="F40" s="234">
        <f t="shared" si="2"/>
      </c>
      <c r="G40" s="234">
        <f t="shared" si="2"/>
      </c>
      <c r="H40" s="83"/>
      <c r="I40" s="245">
        <f t="shared" si="3"/>
      </c>
      <c r="J40" s="245">
        <f t="shared" si="0"/>
      </c>
      <c r="K40" s="188">
        <f t="shared" si="4"/>
      </c>
      <c r="L40" s="187">
        <f t="shared" si="5"/>
      </c>
      <c r="M40" s="245">
        <f aca="true" t="shared" si="6" ref="M40:M103">IF(ISERROR(M39+K40),"",(M39+K40))</f>
      </c>
      <c r="N40" s="245">
        <f aca="true" t="shared" si="7" ref="N40:N103">IF(ISERROR(N39+L40),"",(N39+L40))</f>
      </c>
      <c r="O40" s="83"/>
      <c r="P40" s="253">
        <f t="shared" si="1"/>
      </c>
      <c r="Q40" s="254">
        <f>IF(ISERROR(N40*M41),"",(N40*M41))</f>
      </c>
      <c r="R40"/>
      <c r="S40" s="181">
        <f>S38+$Q$32*($Q$28+(0.5*(MAX($F:$F)-MIN($F:$F))/2))*COS(((360-$B$6)+90)*PI()/180)</f>
        <v>0</v>
      </c>
      <c r="T40" s="182">
        <f>T38+$Q$32*($Q$28+(0.5*(MAX($G:$G)-MIN($G:$G))/2))*SIN(((360-$B$6)+90)*PI()/180)</f>
        <v>0</v>
      </c>
      <c r="U40" s="17"/>
      <c r="V40" s="24"/>
      <c r="W40" s="24"/>
      <c r="X40"/>
      <c r="Z40"/>
    </row>
    <row r="41" spans="1:26" ht="12.75">
      <c r="A41" s="235">
        <f>IF(ISNUMBER('Data Entry'!$Q20),'Data Entry'!A20,"")</f>
      </c>
      <c r="B41" s="234">
        <f>IF(ISNUMBER('Data Entry'!$Q20),IF($B$3='Data Entry'!$B$8,'Data Entry'!L20,IF(AND($B$3=0,'Data Entry'!$B$8=1),'Data Entry'!L20/'Data Entry'!$B$9,IF(AND($B$3=1,'Data Entry'!$B$8=0),'Data Entry'!L20*'Data Entry'!$B$9,"Conversion Error"))),"")</f>
      </c>
      <c r="C41" s="234">
        <f>IF(ISNUMBER('Data Entry'!$Q20),IF(ISNUMBER('Data Entry'!$M20),'Data Entry'!$M20,IF(ISNUMBER('Data Entry'!$N20),'Data Entry'!$N20,"Error")),"")</f>
      </c>
      <c r="D41" s="236">
        <f>IF('Data Entry'!$Q20="","",IF(ISERROR($B41*COS(((360-$B$6)-$C41+90)*PI()/180)),"Error",$B41*COS(((360-$B$6)-$C41+90)*PI()/180)))</f>
      </c>
      <c r="E41" s="237">
        <f>IF('Data Entry'!$Q20="","",IF(ISERROR($B41*SIN(((360-$B$6)-$C41+90)*PI()/180)),"Error",$B41*SIN(((360-$B$6)-$C41+90)*PI()/180)))</f>
      </c>
      <c r="F41" s="234">
        <f t="shared" si="2"/>
      </c>
      <c r="G41" s="234">
        <f t="shared" si="2"/>
      </c>
      <c r="H41" s="83"/>
      <c r="I41" s="245">
        <f t="shared" si="3"/>
      </c>
      <c r="J41" s="245">
        <f t="shared" si="0"/>
      </c>
      <c r="K41" s="188">
        <f t="shared" si="4"/>
      </c>
      <c r="L41" s="187">
        <f t="shared" si="5"/>
      </c>
      <c r="M41" s="245">
        <f t="shared" si="6"/>
      </c>
      <c r="N41" s="245">
        <f t="shared" si="7"/>
      </c>
      <c r="O41" s="83"/>
      <c r="P41" s="253">
        <f t="shared" si="1"/>
      </c>
      <c r="Q41" s="254">
        <f>IF(ISERROR(N41*M42),"",(N41*M42))</f>
      </c>
      <c r="R41"/>
      <c r="S41" s="181">
        <f>S38-($Q$31/2)*SIN((180-((360-$B$6)+90))*PI()/180)</f>
        <v>-10</v>
      </c>
      <c r="T41" s="182">
        <f>T38-($Q$31/2)*COS((180-((360-$B$6)+90))*PI()/180)</f>
        <v>1.83772268236293E-15</v>
      </c>
      <c r="U41" s="17"/>
      <c r="V41" s="24"/>
      <c r="W41" s="24"/>
      <c r="X41"/>
      <c r="Z41"/>
    </row>
    <row r="42" spans="1:26" ht="13.5" thickBot="1">
      <c r="A42" s="235">
        <f>IF(ISNUMBER('Data Entry'!$Q21),'Data Entry'!A21,"")</f>
      </c>
      <c r="B42" s="234">
        <f>IF(ISNUMBER('Data Entry'!$Q21),IF($B$3='Data Entry'!$B$8,'Data Entry'!L21,IF(AND($B$3=0,'Data Entry'!$B$8=1),'Data Entry'!L21/'Data Entry'!$B$9,IF(AND($B$3=1,'Data Entry'!$B$8=0),'Data Entry'!L21*'Data Entry'!$B$9,"Conversion Error"))),"")</f>
      </c>
      <c r="C42" s="234">
        <f>IF(ISNUMBER('Data Entry'!$Q21),IF(ISNUMBER('Data Entry'!$M21),'Data Entry'!$M21,IF(ISNUMBER('Data Entry'!$N21),'Data Entry'!$N21,"Error")),"")</f>
      </c>
      <c r="D42" s="236">
        <f>IF('Data Entry'!$Q21="","",IF(ISERROR($B42*COS(((360-$B$6)-$C42+90)*PI()/180)),"Error",$B42*COS(((360-$B$6)-$C42+90)*PI()/180)))</f>
      </c>
      <c r="E42" s="237">
        <f>IF('Data Entry'!$Q21="","",IF(ISERROR($B42*SIN(((360-$B$6)-$C42+90)*PI()/180)),"Error",$B42*SIN(((360-$B$6)-$C42+90)*PI()/180)))</f>
      </c>
      <c r="F42" s="234">
        <f t="shared" si="2"/>
      </c>
      <c r="G42" s="234">
        <f t="shared" si="2"/>
      </c>
      <c r="H42" s="83"/>
      <c r="I42" s="245">
        <f t="shared" si="3"/>
      </c>
      <c r="J42" s="245">
        <f t="shared" si="0"/>
      </c>
      <c r="K42" s="188">
        <f t="shared" si="4"/>
      </c>
      <c r="L42" s="187">
        <f t="shared" si="5"/>
      </c>
      <c r="M42" s="245">
        <f t="shared" si="6"/>
      </c>
      <c r="N42" s="245">
        <f t="shared" si="7"/>
      </c>
      <c r="O42" s="83"/>
      <c r="P42" s="253">
        <f t="shared" si="1"/>
      </c>
      <c r="Q42" s="254">
        <f aca="true" t="shared" si="8" ref="Q42:Q83">IF(ISERROR(N42*M43),"",(N42*M43))</f>
      </c>
      <c r="R42"/>
      <c r="S42" s="183">
        <f>S38</f>
        <v>0</v>
      </c>
      <c r="T42" s="184">
        <f>T38</f>
        <v>0</v>
      </c>
      <c r="V42" s="24"/>
      <c r="W42" s="24"/>
      <c r="X42"/>
      <c r="Z42"/>
    </row>
    <row r="43" spans="1:26" ht="13.5" thickTop="1">
      <c r="A43" s="235">
        <f>IF(ISNUMBER('Data Entry'!$Q22),'Data Entry'!A22,"")</f>
      </c>
      <c r="B43" s="234">
        <f>IF(ISNUMBER('Data Entry'!$Q22),IF($B$3='Data Entry'!$B$8,'Data Entry'!L22,IF(AND($B$3=0,'Data Entry'!$B$8=1),'Data Entry'!L22/'Data Entry'!$B$9,IF(AND($B$3=1,'Data Entry'!$B$8=0),'Data Entry'!L22*'Data Entry'!$B$9,"Conversion Error"))),"")</f>
      </c>
      <c r="C43" s="234">
        <f>IF(ISNUMBER('Data Entry'!$Q22),IF(ISNUMBER('Data Entry'!$M22),'Data Entry'!$M22,IF(ISNUMBER('Data Entry'!$N22),'Data Entry'!$N22,"Error")),"")</f>
      </c>
      <c r="D43" s="236">
        <f>IF('Data Entry'!$Q22="","",IF(ISERROR($B43*COS(((360-$B$6)-$C43+90)*PI()/180)),"Error",$B43*COS(((360-$B$6)-$C43+90)*PI()/180)))</f>
      </c>
      <c r="E43" s="237">
        <f>IF('Data Entry'!$Q22="","",IF(ISERROR($B43*SIN(((360-$B$6)-$C43+90)*PI()/180)),"Error",$B43*SIN(((360-$B$6)-$C43+90)*PI()/180)))</f>
      </c>
      <c r="F43" s="234">
        <f t="shared" si="2"/>
      </c>
      <c r="G43" s="234">
        <f t="shared" si="2"/>
      </c>
      <c r="H43" s="83"/>
      <c r="I43" s="245">
        <f t="shared" si="3"/>
      </c>
      <c r="J43" s="245">
        <f t="shared" si="0"/>
      </c>
      <c r="K43" s="188">
        <f t="shared" si="4"/>
      </c>
      <c r="L43" s="187">
        <f t="shared" si="5"/>
      </c>
      <c r="M43" s="245">
        <f t="shared" si="6"/>
      </c>
      <c r="N43" s="245">
        <f t="shared" si="7"/>
      </c>
      <c r="O43" s="83"/>
      <c r="P43" s="253">
        <f t="shared" si="1"/>
      </c>
      <c r="Q43" s="254">
        <f t="shared" si="8"/>
      </c>
      <c r="R43"/>
      <c r="V43" s="8"/>
      <c r="W43" s="8"/>
      <c r="X43"/>
      <c r="Z43"/>
    </row>
    <row r="44" spans="1:26" ht="12.75">
      <c r="A44" s="235">
        <f>IF(ISNUMBER('Data Entry'!$Q23),'Data Entry'!A23,"")</f>
      </c>
      <c r="B44" s="234">
        <f>IF(ISNUMBER('Data Entry'!$Q23),IF($B$3='Data Entry'!$B$8,'Data Entry'!L23,IF(AND($B$3=0,'Data Entry'!$B$8=1),'Data Entry'!L23/'Data Entry'!$B$9,IF(AND($B$3=1,'Data Entry'!$B$8=0),'Data Entry'!L23*'Data Entry'!$B$9,"Conversion Error"))),"")</f>
      </c>
      <c r="C44" s="234">
        <f>IF(ISNUMBER('Data Entry'!$Q23),IF(ISNUMBER('Data Entry'!$M23),'Data Entry'!$M23,IF(ISNUMBER('Data Entry'!$N23),'Data Entry'!$N23,"Error")),"")</f>
      </c>
      <c r="D44" s="236">
        <f>IF('Data Entry'!$Q23="","",IF(ISERROR($B44*COS(((360-$B$6)-$C44+90)*PI()/180)),"Error",$B44*COS(((360-$B$6)-$C44+90)*PI()/180)))</f>
      </c>
      <c r="E44" s="237">
        <f>IF('Data Entry'!$Q23="","",IF(ISERROR($B44*SIN(((360-$B$6)-$C44+90)*PI()/180)),"Error",$B44*SIN(((360-$B$6)-$C44+90)*PI()/180)))</f>
      </c>
      <c r="F44" s="234">
        <f t="shared" si="2"/>
      </c>
      <c r="G44" s="234">
        <f t="shared" si="2"/>
      </c>
      <c r="H44" s="83"/>
      <c r="I44" s="245">
        <f t="shared" si="3"/>
      </c>
      <c r="J44" s="245">
        <f t="shared" si="0"/>
      </c>
      <c r="K44" s="188">
        <f t="shared" si="4"/>
      </c>
      <c r="L44" s="187">
        <f t="shared" si="5"/>
      </c>
      <c r="M44" s="245">
        <f t="shared" si="6"/>
      </c>
      <c r="N44" s="245">
        <f t="shared" si="7"/>
      </c>
      <c r="O44" s="83"/>
      <c r="P44" s="253">
        <f t="shared" si="1"/>
      </c>
      <c r="Q44" s="254">
        <f t="shared" si="8"/>
      </c>
      <c r="R44"/>
      <c r="W44"/>
      <c r="X44"/>
      <c r="Z44"/>
    </row>
    <row r="45" spans="1:26" ht="12.75">
      <c r="A45" s="235">
        <f>IF(ISNUMBER('Data Entry'!$Q24),'Data Entry'!A24,"")</f>
      </c>
      <c r="B45" s="234">
        <f>IF(ISNUMBER('Data Entry'!$Q24),IF($B$3='Data Entry'!$B$8,'Data Entry'!L24,IF(AND($B$3=0,'Data Entry'!$B$8=1),'Data Entry'!L24/'Data Entry'!$B$9,IF(AND($B$3=1,'Data Entry'!$B$8=0),'Data Entry'!L24*'Data Entry'!$B$9,"Conversion Error"))),"")</f>
      </c>
      <c r="C45" s="234">
        <f>IF(ISNUMBER('Data Entry'!$Q24),IF(ISNUMBER('Data Entry'!$M24),'Data Entry'!$M24,IF(ISNUMBER('Data Entry'!$N24),'Data Entry'!$N24,"Error")),"")</f>
      </c>
      <c r="D45" s="236">
        <f>IF('Data Entry'!$Q24="","",IF(ISERROR($B45*COS(((360-$B$6)-$C45+90)*PI()/180)),"Error",$B45*COS(((360-$B$6)-$C45+90)*PI()/180)))</f>
      </c>
      <c r="E45" s="237">
        <f>IF('Data Entry'!$Q24="","",IF(ISERROR($B45*SIN(((360-$B$6)-$C45+90)*PI()/180)),"Error",$B45*SIN(((360-$B$6)-$C45+90)*PI()/180)))</f>
      </c>
      <c r="F45" s="234">
        <f t="shared" si="2"/>
      </c>
      <c r="G45" s="234">
        <f t="shared" si="2"/>
      </c>
      <c r="H45" s="83"/>
      <c r="I45" s="245">
        <f t="shared" si="3"/>
      </c>
      <c r="J45" s="245">
        <f t="shared" si="0"/>
      </c>
      <c r="K45" s="188">
        <f t="shared" si="4"/>
      </c>
      <c r="L45" s="187">
        <f t="shared" si="5"/>
      </c>
      <c r="M45" s="245">
        <f t="shared" si="6"/>
      </c>
      <c r="N45" s="245">
        <f t="shared" si="7"/>
      </c>
      <c r="O45" s="83"/>
      <c r="P45" s="253">
        <f t="shared" si="1"/>
      </c>
      <c r="Q45" s="254">
        <f t="shared" si="8"/>
      </c>
      <c r="R45"/>
      <c r="V45" s="13"/>
      <c r="W45" s="13"/>
      <c r="X45"/>
      <c r="Z45"/>
    </row>
    <row r="46" spans="1:26" ht="12.75">
      <c r="A46" s="235">
        <f>IF(ISNUMBER('Data Entry'!$Q25),'Data Entry'!A25,"")</f>
      </c>
      <c r="B46" s="234">
        <f>IF(ISNUMBER('Data Entry'!$Q25),IF($B$3='Data Entry'!$B$8,'Data Entry'!L25,IF(AND($B$3=0,'Data Entry'!$B$8=1),'Data Entry'!L25/'Data Entry'!$B$9,IF(AND($B$3=1,'Data Entry'!$B$8=0),'Data Entry'!L25*'Data Entry'!$B$9,"Conversion Error"))),"")</f>
      </c>
      <c r="C46" s="234">
        <f>IF(ISNUMBER('Data Entry'!$Q25),IF(ISNUMBER('Data Entry'!$M25),'Data Entry'!$M25,IF(ISNUMBER('Data Entry'!$N25),'Data Entry'!$N25,"Error")),"")</f>
      </c>
      <c r="D46" s="236">
        <f>IF('Data Entry'!$Q25="","",IF(ISERROR($B46*COS(((360-$B$6)-$C46+90)*PI()/180)),"Error",$B46*COS(((360-$B$6)-$C46+90)*PI()/180)))</f>
      </c>
      <c r="E46" s="237">
        <f>IF('Data Entry'!$Q25="","",IF(ISERROR($B46*SIN(((360-$B$6)-$C46+90)*PI()/180)),"Error",$B46*SIN(((360-$B$6)-$C46+90)*PI()/180)))</f>
      </c>
      <c r="F46" s="234">
        <f t="shared" si="2"/>
      </c>
      <c r="G46" s="234">
        <f t="shared" si="2"/>
      </c>
      <c r="H46" s="83"/>
      <c r="I46" s="245">
        <f t="shared" si="3"/>
      </c>
      <c r="J46" s="245">
        <f t="shared" si="0"/>
      </c>
      <c r="K46" s="188">
        <f t="shared" si="4"/>
      </c>
      <c r="L46" s="187">
        <f t="shared" si="5"/>
      </c>
      <c r="M46" s="245">
        <f t="shared" si="6"/>
      </c>
      <c r="N46" s="245">
        <f t="shared" si="7"/>
      </c>
      <c r="O46" s="83"/>
      <c r="P46" s="253">
        <f t="shared" si="1"/>
      </c>
      <c r="Q46" s="254">
        <f t="shared" si="8"/>
      </c>
      <c r="R46"/>
      <c r="V46" s="13"/>
      <c r="W46" s="13"/>
      <c r="X46"/>
      <c r="Z46"/>
    </row>
    <row r="47" spans="1:26" ht="12.75">
      <c r="A47" s="235">
        <f>IF(ISNUMBER('Data Entry'!$Q26),'Data Entry'!A26,"")</f>
      </c>
      <c r="B47" s="234">
        <f>IF(ISNUMBER('Data Entry'!$Q26),IF($B$3='Data Entry'!$B$8,'Data Entry'!L26,IF(AND($B$3=0,'Data Entry'!$B$8=1),'Data Entry'!L26/'Data Entry'!$B$9,IF(AND($B$3=1,'Data Entry'!$B$8=0),'Data Entry'!L26*'Data Entry'!$B$9,"Conversion Error"))),"")</f>
      </c>
      <c r="C47" s="234">
        <f>IF(ISNUMBER('Data Entry'!$Q26),IF(ISNUMBER('Data Entry'!$M26),'Data Entry'!$M26,IF(ISNUMBER('Data Entry'!$N26),'Data Entry'!$N26,"Error")),"")</f>
      </c>
      <c r="D47" s="236">
        <f>IF('Data Entry'!$Q26="","",IF(ISERROR($B47*COS(((360-$B$6)-$C47+90)*PI()/180)),"Error",$B47*COS(((360-$B$6)-$C47+90)*PI()/180)))</f>
      </c>
      <c r="E47" s="237">
        <f>IF('Data Entry'!$Q26="","",IF(ISERROR($B47*SIN(((360-$B$6)-$C47+90)*PI()/180)),"Error",$B47*SIN(((360-$B$6)-$C47+90)*PI()/180)))</f>
      </c>
      <c r="F47" s="234">
        <f t="shared" si="2"/>
      </c>
      <c r="G47" s="234">
        <f t="shared" si="2"/>
      </c>
      <c r="H47" s="83"/>
      <c r="I47" s="245">
        <f t="shared" si="3"/>
      </c>
      <c r="J47" s="245">
        <f t="shared" si="0"/>
      </c>
      <c r="K47" s="188">
        <f t="shared" si="4"/>
      </c>
      <c r="L47" s="187">
        <f t="shared" si="5"/>
      </c>
      <c r="M47" s="245">
        <f t="shared" si="6"/>
      </c>
      <c r="N47" s="245">
        <f t="shared" si="7"/>
      </c>
      <c r="O47" s="83"/>
      <c r="P47" s="253">
        <f t="shared" si="1"/>
      </c>
      <c r="Q47" s="254">
        <f t="shared" si="8"/>
      </c>
      <c r="R47"/>
      <c r="V47" s="13"/>
      <c r="W47" s="13"/>
      <c r="X47"/>
      <c r="Z47"/>
    </row>
    <row r="48" spans="1:26" ht="12.75">
      <c r="A48" s="235">
        <f>IF(ISNUMBER('Data Entry'!$Q27),'Data Entry'!A27,"")</f>
      </c>
      <c r="B48" s="234">
        <f>IF(ISNUMBER('Data Entry'!$Q27),IF($B$3='Data Entry'!$B$8,'Data Entry'!L27,IF(AND($B$3=0,'Data Entry'!$B$8=1),'Data Entry'!L27/'Data Entry'!$B$9,IF(AND($B$3=1,'Data Entry'!$B$8=0),'Data Entry'!L27*'Data Entry'!$B$9,"Conversion Error"))),"")</f>
      </c>
      <c r="C48" s="234">
        <f>IF(ISNUMBER('Data Entry'!$Q27),IF(ISNUMBER('Data Entry'!$M27),'Data Entry'!$M27,IF(ISNUMBER('Data Entry'!$N27),'Data Entry'!$N27,"Error")),"")</f>
      </c>
      <c r="D48" s="236">
        <f>IF('Data Entry'!$Q27="","",IF(ISERROR($B48*COS(((360-$B$6)-$C48+90)*PI()/180)),"Error",$B48*COS(((360-$B$6)-$C48+90)*PI()/180)))</f>
      </c>
      <c r="E48" s="237">
        <f>IF('Data Entry'!$Q27="","",IF(ISERROR($B48*SIN(((360-$B$6)-$C48+90)*PI()/180)),"Error",$B48*SIN(((360-$B$6)-$C48+90)*PI()/180)))</f>
      </c>
      <c r="F48" s="234">
        <f t="shared" si="2"/>
      </c>
      <c r="G48" s="234">
        <f t="shared" si="2"/>
      </c>
      <c r="H48" s="83"/>
      <c r="I48" s="245">
        <f t="shared" si="3"/>
      </c>
      <c r="J48" s="245">
        <f t="shared" si="0"/>
      </c>
      <c r="K48" s="188">
        <f t="shared" si="4"/>
      </c>
      <c r="L48" s="187">
        <f t="shared" si="5"/>
      </c>
      <c r="M48" s="245">
        <f t="shared" si="6"/>
      </c>
      <c r="N48" s="245">
        <f t="shared" si="7"/>
      </c>
      <c r="O48" s="83"/>
      <c r="P48" s="253">
        <f t="shared" si="1"/>
      </c>
      <c r="Q48" s="254">
        <f t="shared" si="8"/>
      </c>
      <c r="R48"/>
      <c r="W48"/>
      <c r="X48"/>
      <c r="Z48"/>
    </row>
    <row r="49" spans="1:26" ht="12.75">
      <c r="A49" s="235">
        <f>IF(ISNUMBER('Data Entry'!$Q28),'Data Entry'!A28,"")</f>
      </c>
      <c r="B49" s="234">
        <f>IF(ISNUMBER('Data Entry'!$Q28),IF($B$3='Data Entry'!$B$8,'Data Entry'!L28,IF(AND($B$3=0,'Data Entry'!$B$8=1),'Data Entry'!L28/'Data Entry'!$B$9,IF(AND($B$3=1,'Data Entry'!$B$8=0),'Data Entry'!L28*'Data Entry'!$B$9,"Conversion Error"))),"")</f>
      </c>
      <c r="C49" s="234">
        <f>IF(ISNUMBER('Data Entry'!$Q28),IF(ISNUMBER('Data Entry'!$M28),'Data Entry'!$M28,IF(ISNUMBER('Data Entry'!$N28),'Data Entry'!$N28,"Error")),"")</f>
      </c>
      <c r="D49" s="236">
        <f>IF('Data Entry'!$Q28="","",IF(ISERROR($B49*COS(((360-$B$6)-$C49+90)*PI()/180)),"Error",$B49*COS(((360-$B$6)-$C49+90)*PI()/180)))</f>
      </c>
      <c r="E49" s="237">
        <f>IF('Data Entry'!$Q28="","",IF(ISERROR($B49*SIN(((360-$B$6)-$C49+90)*PI()/180)),"Error",$B49*SIN(((360-$B$6)-$C49+90)*PI()/180)))</f>
      </c>
      <c r="F49" s="234">
        <f t="shared" si="2"/>
      </c>
      <c r="G49" s="234">
        <f t="shared" si="2"/>
      </c>
      <c r="H49" s="83"/>
      <c r="I49" s="245">
        <f t="shared" si="3"/>
      </c>
      <c r="J49" s="245">
        <f t="shared" si="0"/>
      </c>
      <c r="K49" s="188">
        <f t="shared" si="4"/>
      </c>
      <c r="L49" s="187">
        <f t="shared" si="5"/>
      </c>
      <c r="M49" s="245">
        <f t="shared" si="6"/>
      </c>
      <c r="N49" s="245">
        <f t="shared" si="7"/>
      </c>
      <c r="O49" s="83"/>
      <c r="P49" s="253">
        <f t="shared" si="1"/>
      </c>
      <c r="Q49" s="254">
        <f t="shared" si="8"/>
      </c>
      <c r="R49"/>
      <c r="W49"/>
      <c r="X49"/>
      <c r="Z49"/>
    </row>
    <row r="50" spans="1:26" ht="12.75">
      <c r="A50" s="235">
        <f>IF(ISNUMBER('Data Entry'!$Q29),'Data Entry'!A29,"")</f>
      </c>
      <c r="B50" s="234">
        <f>IF(ISNUMBER('Data Entry'!$Q29),IF($B$3='Data Entry'!$B$8,'Data Entry'!L29,IF(AND($B$3=0,'Data Entry'!$B$8=1),'Data Entry'!L29/'Data Entry'!$B$9,IF(AND($B$3=1,'Data Entry'!$B$8=0),'Data Entry'!L29*'Data Entry'!$B$9,"Conversion Error"))),"")</f>
      </c>
      <c r="C50" s="234">
        <f>IF(ISNUMBER('Data Entry'!$Q29),IF(ISNUMBER('Data Entry'!$M29),'Data Entry'!$M29,IF(ISNUMBER('Data Entry'!$N29),'Data Entry'!$N29,"Error")),"")</f>
      </c>
      <c r="D50" s="236">
        <f>IF('Data Entry'!$Q29="","",IF(ISERROR($B50*COS(((360-$B$6)-$C50+90)*PI()/180)),"Error",$B50*COS(((360-$B$6)-$C50+90)*PI()/180)))</f>
      </c>
      <c r="E50" s="237">
        <f>IF('Data Entry'!$Q29="","",IF(ISERROR($B50*SIN(((360-$B$6)-$C50+90)*PI()/180)),"Error",$B50*SIN(((360-$B$6)-$C50+90)*PI()/180)))</f>
      </c>
      <c r="F50" s="234">
        <f t="shared" si="2"/>
      </c>
      <c r="G50" s="234">
        <f t="shared" si="2"/>
      </c>
      <c r="H50" s="83"/>
      <c r="I50" s="245">
        <f t="shared" si="3"/>
      </c>
      <c r="J50" s="245">
        <f t="shared" si="0"/>
      </c>
      <c r="K50" s="188">
        <f t="shared" si="4"/>
      </c>
      <c r="L50" s="187">
        <f t="shared" si="5"/>
      </c>
      <c r="M50" s="245">
        <f t="shared" si="6"/>
      </c>
      <c r="N50" s="245">
        <f t="shared" si="7"/>
      </c>
      <c r="O50" s="83"/>
      <c r="P50" s="253">
        <f t="shared" si="1"/>
      </c>
      <c r="Q50" s="254">
        <f t="shared" si="8"/>
      </c>
      <c r="R50"/>
      <c r="W50"/>
      <c r="X50"/>
      <c r="Z50"/>
    </row>
    <row r="51" spans="1:26" ht="12.75">
      <c r="A51" s="235">
        <f>IF(ISNUMBER('Data Entry'!$Q30),'Data Entry'!A30,"")</f>
      </c>
      <c r="B51" s="234">
        <f>IF(ISNUMBER('Data Entry'!$Q30),IF($B$3='Data Entry'!$B$8,'Data Entry'!L30,IF(AND($B$3=0,'Data Entry'!$B$8=1),'Data Entry'!L30/'Data Entry'!$B$9,IF(AND($B$3=1,'Data Entry'!$B$8=0),'Data Entry'!L30*'Data Entry'!$B$9,"Conversion Error"))),"")</f>
      </c>
      <c r="C51" s="234">
        <f>IF(ISNUMBER('Data Entry'!$Q30),IF(ISNUMBER('Data Entry'!$M30),'Data Entry'!$M30,IF(ISNUMBER('Data Entry'!$N30),'Data Entry'!$N30,"Error")),"")</f>
      </c>
      <c r="D51" s="236">
        <f>IF('Data Entry'!$Q30="","",IF(ISERROR($B51*COS(((360-$B$6)-$C51+90)*PI()/180)),"Error",$B51*COS(((360-$B$6)-$C51+90)*PI()/180)))</f>
      </c>
      <c r="E51" s="237">
        <f>IF('Data Entry'!$Q30="","",IF(ISERROR($B51*SIN(((360-$B$6)-$C51+90)*PI()/180)),"Error",$B51*SIN(((360-$B$6)-$C51+90)*PI()/180)))</f>
      </c>
      <c r="F51" s="234">
        <f t="shared" si="2"/>
      </c>
      <c r="G51" s="234">
        <f t="shared" si="2"/>
      </c>
      <c r="H51" s="83"/>
      <c r="I51" s="245">
        <f t="shared" si="3"/>
      </c>
      <c r="J51" s="245">
        <f t="shared" si="0"/>
      </c>
      <c r="K51" s="188">
        <f t="shared" si="4"/>
      </c>
      <c r="L51" s="187">
        <f t="shared" si="5"/>
      </c>
      <c r="M51" s="245">
        <f t="shared" si="6"/>
      </c>
      <c r="N51" s="245">
        <f t="shared" si="7"/>
      </c>
      <c r="O51" s="83"/>
      <c r="P51" s="253">
        <f t="shared" si="1"/>
      </c>
      <c r="Q51" s="254">
        <f t="shared" si="8"/>
      </c>
      <c r="R51"/>
      <c r="S51" s="1"/>
      <c r="T51"/>
      <c r="W51"/>
      <c r="X51"/>
      <c r="Z51"/>
    </row>
    <row r="52" spans="1:26" ht="12.75">
      <c r="A52" s="235">
        <f>IF(ISNUMBER('Data Entry'!$Q31),'Data Entry'!A31,"")</f>
      </c>
      <c r="B52" s="234">
        <f>IF(ISNUMBER('Data Entry'!$Q31),IF($B$3='Data Entry'!$B$8,'Data Entry'!L31,IF(AND($B$3=0,'Data Entry'!$B$8=1),'Data Entry'!L31/'Data Entry'!$B$9,IF(AND($B$3=1,'Data Entry'!$B$8=0),'Data Entry'!L31*'Data Entry'!$B$9,"Conversion Error"))),"")</f>
      </c>
      <c r="C52" s="234">
        <f>IF(ISNUMBER('Data Entry'!$Q31),IF(ISNUMBER('Data Entry'!$M31),'Data Entry'!$M31,IF(ISNUMBER('Data Entry'!$N31),'Data Entry'!$N31,"Error")),"")</f>
      </c>
      <c r="D52" s="236">
        <f>IF('Data Entry'!$Q31="","",IF(ISERROR($B52*COS(((360-$B$6)-$C52+90)*PI()/180)),"Error",$B52*COS(((360-$B$6)-$C52+90)*PI()/180)))</f>
      </c>
      <c r="E52" s="237">
        <f>IF('Data Entry'!$Q31="","",IF(ISERROR($B52*SIN(((360-$B$6)-$C52+90)*PI()/180)),"Error",$B52*SIN(((360-$B$6)-$C52+90)*PI()/180)))</f>
      </c>
      <c r="F52" s="234">
        <f t="shared" si="2"/>
      </c>
      <c r="G52" s="234">
        <f t="shared" si="2"/>
      </c>
      <c r="H52" s="83"/>
      <c r="I52" s="245">
        <f t="shared" si="3"/>
      </c>
      <c r="J52" s="245">
        <f t="shared" si="0"/>
      </c>
      <c r="K52" s="188">
        <f t="shared" si="4"/>
      </c>
      <c r="L52" s="187">
        <f t="shared" si="5"/>
      </c>
      <c r="M52" s="245">
        <f t="shared" si="6"/>
      </c>
      <c r="N52" s="245">
        <f t="shared" si="7"/>
      </c>
      <c r="O52" s="83"/>
      <c r="P52" s="253">
        <f t="shared" si="1"/>
      </c>
      <c r="Q52" s="254">
        <f t="shared" si="8"/>
      </c>
      <c r="R52"/>
      <c r="S52" s="33"/>
      <c r="T52" s="8"/>
      <c r="U52" s="8"/>
      <c r="V52" s="8"/>
      <c r="W52" s="8"/>
      <c r="X52"/>
      <c r="Z52"/>
    </row>
    <row r="53" spans="1:26" ht="12.75">
      <c r="A53" s="235">
        <f>IF(ISNUMBER('Data Entry'!$Q32),'Data Entry'!A32,"")</f>
      </c>
      <c r="B53" s="234">
        <f>IF(ISNUMBER('Data Entry'!$Q32),IF($B$3='Data Entry'!$B$8,'Data Entry'!L32,IF(AND($B$3=0,'Data Entry'!$B$8=1),'Data Entry'!L32/'Data Entry'!$B$9,IF(AND($B$3=1,'Data Entry'!$B$8=0),'Data Entry'!L32*'Data Entry'!$B$9,"Conversion Error"))),"")</f>
      </c>
      <c r="C53" s="234">
        <f>IF(ISNUMBER('Data Entry'!$Q32),IF(ISNUMBER('Data Entry'!$M32),'Data Entry'!$M32,IF(ISNUMBER('Data Entry'!$N32),'Data Entry'!$N32,"Error")),"")</f>
      </c>
      <c r="D53" s="236">
        <f>IF('Data Entry'!$Q32="","",IF(ISERROR($B53*COS(((360-$B$6)-$C53+90)*PI()/180)),"Error",$B53*COS(((360-$B$6)-$C53+90)*PI()/180)))</f>
      </c>
      <c r="E53" s="237">
        <f>IF('Data Entry'!$Q32="","",IF(ISERROR($B53*SIN(((360-$B$6)-$C53+90)*PI()/180)),"Error",$B53*SIN(((360-$B$6)-$C53+90)*PI()/180)))</f>
      </c>
      <c r="F53" s="234">
        <f t="shared" si="2"/>
      </c>
      <c r="G53" s="234">
        <f t="shared" si="2"/>
      </c>
      <c r="H53" s="83"/>
      <c r="I53" s="245">
        <f t="shared" si="3"/>
      </c>
      <c r="J53" s="245">
        <f t="shared" si="0"/>
      </c>
      <c r="K53" s="188">
        <f t="shared" si="4"/>
      </c>
      <c r="L53" s="187">
        <f t="shared" si="5"/>
      </c>
      <c r="M53" s="245">
        <f t="shared" si="6"/>
      </c>
      <c r="N53" s="245">
        <f t="shared" si="7"/>
      </c>
      <c r="O53" s="83"/>
      <c r="P53" s="253">
        <f t="shared" si="1"/>
      </c>
      <c r="Q53" s="254">
        <f t="shared" si="8"/>
      </c>
      <c r="R53"/>
      <c r="S53" s="72"/>
      <c r="T53" s="78"/>
      <c r="U53" s="78"/>
      <c r="V53" s="78"/>
      <c r="W53" s="8"/>
      <c r="X53"/>
      <c r="Z53"/>
    </row>
    <row r="54" spans="1:26" ht="12.75">
      <c r="A54" s="235">
        <f>IF(ISNUMBER('Data Entry'!$Q33),'Data Entry'!A33,"")</f>
      </c>
      <c r="B54" s="234">
        <f>IF(ISNUMBER('Data Entry'!$Q33),IF($B$3='Data Entry'!$B$8,'Data Entry'!L33,IF(AND($B$3=0,'Data Entry'!$B$8=1),'Data Entry'!L33/'Data Entry'!$B$9,IF(AND($B$3=1,'Data Entry'!$B$8=0),'Data Entry'!L33*'Data Entry'!$B$9,"Conversion Error"))),"")</f>
      </c>
      <c r="C54" s="234">
        <f>IF(ISNUMBER('Data Entry'!$Q33),IF(ISNUMBER('Data Entry'!$M33),'Data Entry'!$M33,IF(ISNUMBER('Data Entry'!$N33),'Data Entry'!$N33,"Error")),"")</f>
      </c>
      <c r="D54" s="236">
        <f>IF('Data Entry'!$Q33="","",IF(ISERROR($B54*COS(((360-$B$6)-$C54+90)*PI()/180)),"Error",$B54*COS(((360-$B$6)-$C54+90)*PI()/180)))</f>
      </c>
      <c r="E54" s="237">
        <f>IF('Data Entry'!$Q33="","",IF(ISERROR($B54*SIN(((360-$B$6)-$C54+90)*PI()/180)),"Error",$B54*SIN(((360-$B$6)-$C54+90)*PI()/180)))</f>
      </c>
      <c r="F54" s="234">
        <f t="shared" si="2"/>
      </c>
      <c r="G54" s="234">
        <f t="shared" si="2"/>
      </c>
      <c r="H54" s="83"/>
      <c r="I54" s="245">
        <f t="shared" si="3"/>
      </c>
      <c r="J54" s="245">
        <f t="shared" si="0"/>
      </c>
      <c r="K54" s="188">
        <f t="shared" si="4"/>
      </c>
      <c r="L54" s="187">
        <f t="shared" si="5"/>
      </c>
      <c r="M54" s="245">
        <f t="shared" si="6"/>
      </c>
      <c r="N54" s="245">
        <f t="shared" si="7"/>
      </c>
      <c r="O54" s="83"/>
      <c r="P54" s="253">
        <f t="shared" si="1"/>
      </c>
      <c r="Q54" s="254">
        <f t="shared" si="8"/>
      </c>
      <c r="R54"/>
      <c r="S54" s="33"/>
      <c r="T54" s="78"/>
      <c r="U54" s="78"/>
      <c r="V54" s="78"/>
      <c r="W54" s="8"/>
      <c r="X54"/>
      <c r="Z54"/>
    </row>
    <row r="55" spans="1:26" ht="12.75">
      <c r="A55" s="235">
        <f>IF(ISNUMBER('Data Entry'!$Q34),'Data Entry'!A34,"")</f>
      </c>
      <c r="B55" s="234">
        <f>IF(ISNUMBER('Data Entry'!$Q34),IF($B$3='Data Entry'!$B$8,'Data Entry'!L34,IF(AND($B$3=0,'Data Entry'!$B$8=1),'Data Entry'!L34/'Data Entry'!$B$9,IF(AND($B$3=1,'Data Entry'!$B$8=0),'Data Entry'!L34*'Data Entry'!$B$9,"Conversion Error"))),"")</f>
      </c>
      <c r="C55" s="234">
        <f>IF(ISNUMBER('Data Entry'!$Q34),IF(ISNUMBER('Data Entry'!$M34),'Data Entry'!$M34,IF(ISNUMBER('Data Entry'!$N34),'Data Entry'!$N34,"Error")),"")</f>
      </c>
      <c r="D55" s="236">
        <f>IF('Data Entry'!$Q34="","",IF(ISERROR($B55*COS(((360-$B$6)-$C55+90)*PI()/180)),"Error",$B55*COS(((360-$B$6)-$C55+90)*PI()/180)))</f>
      </c>
      <c r="E55" s="237">
        <f>IF('Data Entry'!$Q34="","",IF(ISERROR($B55*SIN(((360-$B$6)-$C55+90)*PI()/180)),"Error",$B55*SIN(((360-$B$6)-$C55+90)*PI()/180)))</f>
      </c>
      <c r="F55" s="234">
        <f t="shared" si="2"/>
      </c>
      <c r="G55" s="234">
        <f t="shared" si="2"/>
      </c>
      <c r="H55" s="83"/>
      <c r="I55" s="245">
        <f t="shared" si="3"/>
      </c>
      <c r="J55" s="245">
        <f t="shared" si="0"/>
      </c>
      <c r="K55" s="188">
        <f t="shared" si="4"/>
      </c>
      <c r="L55" s="187">
        <f t="shared" si="5"/>
      </c>
      <c r="M55" s="245">
        <f t="shared" si="6"/>
      </c>
      <c r="N55" s="245">
        <f t="shared" si="7"/>
      </c>
      <c r="O55" s="83"/>
      <c r="P55" s="253">
        <f t="shared" si="1"/>
      </c>
      <c r="Q55" s="254">
        <f t="shared" si="8"/>
      </c>
      <c r="R55"/>
      <c r="S55" s="12"/>
      <c r="T55" s="12"/>
      <c r="U55" s="78"/>
      <c r="V55" s="12"/>
      <c r="W55" s="8"/>
      <c r="X55"/>
      <c r="Z55"/>
    </row>
    <row r="56" spans="1:26" ht="12.75">
      <c r="A56" s="235">
        <f>IF(ISNUMBER('Data Entry'!$Q35),'Data Entry'!A35,"")</f>
      </c>
      <c r="B56" s="234">
        <f>IF(ISNUMBER('Data Entry'!$Q35),IF($B$3='Data Entry'!$B$8,'Data Entry'!L35,IF(AND($B$3=0,'Data Entry'!$B$8=1),'Data Entry'!L35/'Data Entry'!$B$9,IF(AND($B$3=1,'Data Entry'!$B$8=0),'Data Entry'!L35*'Data Entry'!$B$9,"Conversion Error"))),"")</f>
      </c>
      <c r="C56" s="234">
        <f>IF(ISNUMBER('Data Entry'!$Q35),IF(ISNUMBER('Data Entry'!$M35),'Data Entry'!$M35,IF(ISNUMBER('Data Entry'!$N35),'Data Entry'!$N35,"Error")),"")</f>
      </c>
      <c r="D56" s="236">
        <f>IF('Data Entry'!$Q35="","",IF(ISERROR($B56*COS(((360-$B$6)-$C56+90)*PI()/180)),"Error",$B56*COS(((360-$B$6)-$C56+90)*PI()/180)))</f>
      </c>
      <c r="E56" s="237">
        <f>IF('Data Entry'!$Q35="","",IF(ISERROR($B56*SIN(((360-$B$6)-$C56+90)*PI()/180)),"Error",$B56*SIN(((360-$B$6)-$C56+90)*PI()/180)))</f>
      </c>
      <c r="F56" s="234">
        <f t="shared" si="2"/>
      </c>
      <c r="G56" s="234">
        <f t="shared" si="2"/>
      </c>
      <c r="H56" s="83"/>
      <c r="I56" s="245">
        <f t="shared" si="3"/>
      </c>
      <c r="J56" s="245">
        <f t="shared" si="0"/>
      </c>
      <c r="K56" s="188">
        <f t="shared" si="4"/>
      </c>
      <c r="L56" s="187">
        <f t="shared" si="5"/>
      </c>
      <c r="M56" s="245">
        <f t="shared" si="6"/>
      </c>
      <c r="N56" s="245">
        <f t="shared" si="7"/>
      </c>
      <c r="O56" s="83"/>
      <c r="P56" s="253">
        <f t="shared" si="1"/>
      </c>
      <c r="Q56" s="254">
        <f t="shared" si="8"/>
      </c>
      <c r="R56"/>
      <c r="S56" s="73"/>
      <c r="T56" s="73"/>
      <c r="U56" s="12"/>
      <c r="V56" s="33"/>
      <c r="W56" s="8"/>
      <c r="X56"/>
      <c r="Z56"/>
    </row>
    <row r="57" spans="1:26" ht="12.75">
      <c r="A57" s="235">
        <f>IF(ISNUMBER('Data Entry'!$Q36),'Data Entry'!A36,"")</f>
      </c>
      <c r="B57" s="234">
        <f>IF(ISNUMBER('Data Entry'!$Q36),IF($B$3='Data Entry'!$B$8,'Data Entry'!L36,IF(AND($B$3=0,'Data Entry'!$B$8=1),'Data Entry'!L36/'Data Entry'!$B$9,IF(AND($B$3=1,'Data Entry'!$B$8=0),'Data Entry'!L36*'Data Entry'!$B$9,"Conversion Error"))),"")</f>
      </c>
      <c r="C57" s="234">
        <f>IF(ISNUMBER('Data Entry'!$Q36),IF(ISNUMBER('Data Entry'!$M36),'Data Entry'!$M36,IF(ISNUMBER('Data Entry'!$N36),'Data Entry'!$N36,"Error")),"")</f>
      </c>
      <c r="D57" s="236">
        <f>IF('Data Entry'!$Q36="","",IF(ISERROR($B57*COS(((360-$B$6)-$C57+90)*PI()/180)),"Error",$B57*COS(((360-$B$6)-$C57+90)*PI()/180)))</f>
      </c>
      <c r="E57" s="237">
        <f>IF('Data Entry'!$Q36="","",IF(ISERROR($B57*SIN(((360-$B$6)-$C57+90)*PI()/180)),"Error",$B57*SIN(((360-$B$6)-$C57+90)*PI()/180)))</f>
      </c>
      <c r="F57" s="234">
        <f t="shared" si="2"/>
      </c>
      <c r="G57" s="234">
        <f t="shared" si="2"/>
      </c>
      <c r="H57" s="83"/>
      <c r="I57" s="245">
        <f t="shared" si="3"/>
      </c>
      <c r="J57" s="245">
        <f t="shared" si="0"/>
      </c>
      <c r="K57" s="188">
        <f t="shared" si="4"/>
      </c>
      <c r="L57" s="187">
        <f t="shared" si="5"/>
      </c>
      <c r="M57" s="245">
        <f t="shared" si="6"/>
      </c>
      <c r="N57" s="245">
        <f t="shared" si="7"/>
      </c>
      <c r="O57" s="83"/>
      <c r="P57" s="253">
        <f t="shared" si="1"/>
      </c>
      <c r="Q57" s="254">
        <f t="shared" si="8"/>
      </c>
      <c r="R57"/>
      <c r="S57" s="40"/>
      <c r="T57" s="74"/>
      <c r="U57" s="78"/>
      <c r="V57" s="33"/>
      <c r="W57" s="8"/>
      <c r="X57"/>
      <c r="Z57"/>
    </row>
    <row r="58" spans="1:26" ht="12.75">
      <c r="A58" s="235">
        <f>IF(ISNUMBER('Data Entry'!$Q37),'Data Entry'!A37,"")</f>
      </c>
      <c r="B58" s="234">
        <f>IF(ISNUMBER('Data Entry'!$Q37),IF($B$3='Data Entry'!$B$8,'Data Entry'!L37,IF(AND($B$3=0,'Data Entry'!$B$8=1),'Data Entry'!L37/'Data Entry'!$B$9,IF(AND($B$3=1,'Data Entry'!$B$8=0),'Data Entry'!L37*'Data Entry'!$B$9,"Conversion Error"))),"")</f>
      </c>
      <c r="C58" s="234">
        <f>IF(ISNUMBER('Data Entry'!$Q37),IF(ISNUMBER('Data Entry'!$M37),'Data Entry'!$M37,IF(ISNUMBER('Data Entry'!$N37),'Data Entry'!$N37,"Error")),"")</f>
      </c>
      <c r="D58" s="236">
        <f>IF('Data Entry'!$Q37="","",IF(ISERROR($B58*COS(((360-$B$6)-$C58+90)*PI()/180)),"Error",$B58*COS(((360-$B$6)-$C58+90)*PI()/180)))</f>
      </c>
      <c r="E58" s="237">
        <f>IF('Data Entry'!$Q37="","",IF(ISERROR($B58*SIN(((360-$B$6)-$C58+90)*PI()/180)),"Error",$B58*SIN(((360-$B$6)-$C58+90)*PI()/180)))</f>
      </c>
      <c r="F58" s="234">
        <f t="shared" si="2"/>
      </c>
      <c r="G58" s="234">
        <f t="shared" si="2"/>
      </c>
      <c r="H58" s="83"/>
      <c r="I58" s="245">
        <f t="shared" si="3"/>
      </c>
      <c r="J58" s="245">
        <f t="shared" si="0"/>
      </c>
      <c r="K58" s="188">
        <f t="shared" si="4"/>
      </c>
      <c r="L58" s="187">
        <f t="shared" si="5"/>
      </c>
      <c r="M58" s="245">
        <f t="shared" si="6"/>
      </c>
      <c r="N58" s="245">
        <f t="shared" si="7"/>
      </c>
      <c r="O58" s="83"/>
      <c r="P58" s="253">
        <f t="shared" si="1"/>
      </c>
      <c r="Q58" s="254">
        <f t="shared" si="8"/>
      </c>
      <c r="R58"/>
      <c r="S58" s="33"/>
      <c r="T58" s="78"/>
      <c r="U58" s="78"/>
      <c r="V58" s="78"/>
      <c r="W58" s="8"/>
      <c r="X58"/>
      <c r="Z58"/>
    </row>
    <row r="59" spans="1:26" ht="12.75">
      <c r="A59" s="235">
        <f>IF(ISNUMBER('Data Entry'!$Q38),'Data Entry'!A38,"")</f>
      </c>
      <c r="B59" s="234">
        <f>IF(ISNUMBER('Data Entry'!$Q38),IF($B$3='Data Entry'!$B$8,'Data Entry'!L38,IF(AND($B$3=0,'Data Entry'!$B$8=1),'Data Entry'!L38/'Data Entry'!$B$9,IF(AND($B$3=1,'Data Entry'!$B$8=0),'Data Entry'!L38*'Data Entry'!$B$9,"Conversion Error"))),"")</f>
      </c>
      <c r="C59" s="234">
        <f>IF(ISNUMBER('Data Entry'!$Q38),IF(ISNUMBER('Data Entry'!$M38),'Data Entry'!$M38,IF(ISNUMBER('Data Entry'!$N38),'Data Entry'!$N38,"Error")),"")</f>
      </c>
      <c r="D59" s="236">
        <f>IF('Data Entry'!$Q38="","",IF(ISERROR($B59*COS(((360-$B$6)-$C59+90)*PI()/180)),"Error",$B59*COS(((360-$B$6)-$C59+90)*PI()/180)))</f>
      </c>
      <c r="E59" s="237">
        <f>IF('Data Entry'!$Q38="","",IF(ISERROR($B59*SIN(((360-$B$6)-$C59+90)*PI()/180)),"Error",$B59*SIN(((360-$B$6)-$C59+90)*PI()/180)))</f>
      </c>
      <c r="F59" s="234">
        <f t="shared" si="2"/>
      </c>
      <c r="G59" s="234">
        <f t="shared" si="2"/>
      </c>
      <c r="H59" s="83"/>
      <c r="I59" s="245">
        <f t="shared" si="3"/>
      </c>
      <c r="J59" s="245">
        <f t="shared" si="0"/>
      </c>
      <c r="K59" s="188">
        <f t="shared" si="4"/>
      </c>
      <c r="L59" s="187">
        <f t="shared" si="5"/>
      </c>
      <c r="M59" s="245">
        <f t="shared" si="6"/>
      </c>
      <c r="N59" s="245">
        <f t="shared" si="7"/>
      </c>
      <c r="O59" s="83"/>
      <c r="P59" s="253">
        <f t="shared" si="1"/>
      </c>
      <c r="Q59" s="254">
        <f t="shared" si="8"/>
      </c>
      <c r="R59"/>
      <c r="S59" s="12"/>
      <c r="T59" s="12"/>
      <c r="U59" s="78"/>
      <c r="V59" s="12"/>
      <c r="W59" s="8"/>
      <c r="X59"/>
      <c r="Z59"/>
    </row>
    <row r="60" spans="1:26" ht="12.75">
      <c r="A60" s="235">
        <f>IF(ISNUMBER('Data Entry'!$Q39),'Data Entry'!A39,"")</f>
      </c>
      <c r="B60" s="234">
        <f>IF(ISNUMBER('Data Entry'!$Q39),IF($B$3='Data Entry'!$B$8,'Data Entry'!L39,IF(AND($B$3=0,'Data Entry'!$B$8=1),'Data Entry'!L39/'Data Entry'!$B$9,IF(AND($B$3=1,'Data Entry'!$B$8=0),'Data Entry'!L39*'Data Entry'!$B$9,"Conversion Error"))),"")</f>
      </c>
      <c r="C60" s="234">
        <f>IF(ISNUMBER('Data Entry'!$Q39),IF(ISNUMBER('Data Entry'!$M39),'Data Entry'!$M39,IF(ISNUMBER('Data Entry'!$N39),'Data Entry'!$N39,"Error")),"")</f>
      </c>
      <c r="D60" s="236">
        <f>IF('Data Entry'!$Q39="","",IF(ISERROR($B60*COS(((360-$B$6)-$C60+90)*PI()/180)),"Error",$B60*COS(((360-$B$6)-$C60+90)*PI()/180)))</f>
      </c>
      <c r="E60" s="237">
        <f>IF('Data Entry'!$Q39="","",IF(ISERROR($B60*SIN(((360-$B$6)-$C60+90)*PI()/180)),"Error",$B60*SIN(((360-$B$6)-$C60+90)*PI()/180)))</f>
      </c>
      <c r="F60" s="234">
        <f t="shared" si="2"/>
      </c>
      <c r="G60" s="234">
        <f t="shared" si="2"/>
      </c>
      <c r="H60" s="83"/>
      <c r="I60" s="245">
        <f t="shared" si="3"/>
      </c>
      <c r="J60" s="245">
        <f t="shared" si="0"/>
      </c>
      <c r="K60" s="188">
        <f t="shared" si="4"/>
      </c>
      <c r="L60" s="187">
        <f t="shared" si="5"/>
      </c>
      <c r="M60" s="245">
        <f t="shared" si="6"/>
      </c>
      <c r="N60" s="245">
        <f t="shared" si="7"/>
      </c>
      <c r="O60" s="83"/>
      <c r="P60" s="253">
        <f t="shared" si="1"/>
      </c>
      <c r="Q60" s="254">
        <f t="shared" si="8"/>
      </c>
      <c r="R60"/>
      <c r="S60" s="73"/>
      <c r="T60" s="73"/>
      <c r="U60" s="78"/>
      <c r="V60" s="33"/>
      <c r="W60" s="8"/>
      <c r="X60"/>
      <c r="Z60"/>
    </row>
    <row r="61" spans="1:26" ht="12.75">
      <c r="A61" s="235">
        <f>IF(ISNUMBER('Data Entry'!$Q40),'Data Entry'!A40,"")</f>
      </c>
      <c r="B61" s="234">
        <f>IF(ISNUMBER('Data Entry'!$Q40),IF($B$3='Data Entry'!$B$8,'Data Entry'!L40,IF(AND($B$3=0,'Data Entry'!$B$8=1),'Data Entry'!L40/'Data Entry'!$B$9,IF(AND($B$3=1,'Data Entry'!$B$8=0),'Data Entry'!L40*'Data Entry'!$B$9,"Conversion Error"))),"")</f>
      </c>
      <c r="C61" s="234">
        <f>IF(ISNUMBER('Data Entry'!$Q40),IF(ISNUMBER('Data Entry'!$M40),'Data Entry'!$M40,IF(ISNUMBER('Data Entry'!$N40),'Data Entry'!$N40,"Error")),"")</f>
      </c>
      <c r="D61" s="236">
        <f>IF('Data Entry'!$Q40="","",IF(ISERROR($B61*COS(((360-$B$6)-$C61+90)*PI()/180)),"Error",$B61*COS(((360-$B$6)-$C61+90)*PI()/180)))</f>
      </c>
      <c r="E61" s="237">
        <f>IF('Data Entry'!$Q40="","",IF(ISERROR($B61*SIN(((360-$B$6)-$C61+90)*PI()/180)),"Error",$B61*SIN(((360-$B$6)-$C61+90)*PI()/180)))</f>
      </c>
      <c r="F61" s="234">
        <f t="shared" si="2"/>
      </c>
      <c r="G61" s="234">
        <f t="shared" si="2"/>
      </c>
      <c r="H61" s="83"/>
      <c r="I61" s="245">
        <f t="shared" si="3"/>
      </c>
      <c r="J61" s="245">
        <f t="shared" si="0"/>
      </c>
      <c r="K61" s="188">
        <f t="shared" si="4"/>
      </c>
      <c r="L61" s="187">
        <f t="shared" si="5"/>
      </c>
      <c r="M61" s="245">
        <f t="shared" si="6"/>
      </c>
      <c r="N61" s="245">
        <f t="shared" si="7"/>
      </c>
      <c r="O61" s="83"/>
      <c r="P61" s="253">
        <f t="shared" si="1"/>
      </c>
      <c r="Q61" s="254">
        <f t="shared" si="8"/>
      </c>
      <c r="R61"/>
      <c r="S61" s="40"/>
      <c r="T61" s="74"/>
      <c r="U61" s="78"/>
      <c r="V61" s="78"/>
      <c r="W61" s="8"/>
      <c r="X61"/>
      <c r="Z61"/>
    </row>
    <row r="62" spans="1:26" ht="12.75">
      <c r="A62" s="235">
        <f>IF(ISNUMBER('Data Entry'!$Q41),'Data Entry'!A41,"")</f>
      </c>
      <c r="B62" s="234">
        <f>IF(ISNUMBER('Data Entry'!$Q41),IF($B$3='Data Entry'!$B$8,'Data Entry'!L41,IF(AND($B$3=0,'Data Entry'!$B$8=1),'Data Entry'!L41/'Data Entry'!$B$9,IF(AND($B$3=1,'Data Entry'!$B$8=0),'Data Entry'!L41*'Data Entry'!$B$9,"Conversion Error"))),"")</f>
      </c>
      <c r="C62" s="234">
        <f>IF(ISNUMBER('Data Entry'!$Q41),IF(ISNUMBER('Data Entry'!$M41),'Data Entry'!$M41,IF(ISNUMBER('Data Entry'!$N41),'Data Entry'!$N41,"Error")),"")</f>
      </c>
      <c r="D62" s="236">
        <f>IF('Data Entry'!$Q41="","",IF(ISERROR($B62*COS(((360-$B$6)-$C62+90)*PI()/180)),"Error",$B62*COS(((360-$B$6)-$C62+90)*PI()/180)))</f>
      </c>
      <c r="E62" s="237">
        <f>IF('Data Entry'!$Q41="","",IF(ISERROR($B62*SIN(((360-$B$6)-$C62+90)*PI()/180)),"Error",$B62*SIN(((360-$B$6)-$C62+90)*PI()/180)))</f>
      </c>
      <c r="F62" s="234">
        <f t="shared" si="2"/>
      </c>
      <c r="G62" s="234">
        <f t="shared" si="2"/>
      </c>
      <c r="H62" s="83"/>
      <c r="I62" s="245">
        <f t="shared" si="3"/>
      </c>
      <c r="J62" s="245">
        <f t="shared" si="0"/>
      </c>
      <c r="K62" s="188">
        <f t="shared" si="4"/>
      </c>
      <c r="L62" s="187">
        <f t="shared" si="5"/>
      </c>
      <c r="M62" s="245">
        <f t="shared" si="6"/>
      </c>
      <c r="N62" s="245">
        <f t="shared" si="7"/>
      </c>
      <c r="O62" s="83"/>
      <c r="P62" s="253">
        <f t="shared" si="1"/>
      </c>
      <c r="Q62" s="254">
        <f t="shared" si="8"/>
      </c>
      <c r="R62"/>
      <c r="S62" s="33"/>
      <c r="T62" s="78"/>
      <c r="U62" s="78"/>
      <c r="V62" s="78"/>
      <c r="W62" s="8"/>
      <c r="X62"/>
      <c r="Z62"/>
    </row>
    <row r="63" spans="1:28" ht="12.75">
      <c r="A63" s="235">
        <f>IF(ISNUMBER('Data Entry'!$Q42),'Data Entry'!A42,"")</f>
      </c>
      <c r="B63" s="234">
        <f>IF(ISNUMBER('Data Entry'!$Q42),IF($B$3='Data Entry'!$B$8,'Data Entry'!L42,IF(AND($B$3=0,'Data Entry'!$B$8=1),'Data Entry'!L42/'Data Entry'!$B$9,IF(AND($B$3=1,'Data Entry'!$B$8=0),'Data Entry'!L42*'Data Entry'!$B$9,"Conversion Error"))),"")</f>
      </c>
      <c r="C63" s="234">
        <f>IF(ISNUMBER('Data Entry'!$Q42),IF(ISNUMBER('Data Entry'!$M42),'Data Entry'!$M42,IF(ISNUMBER('Data Entry'!$N42),'Data Entry'!$N42,"Error")),"")</f>
      </c>
      <c r="D63" s="236">
        <f>IF('Data Entry'!$Q42="","",IF(ISERROR($B63*COS(((360-$B$6)-$C63+90)*PI()/180)),"Error",$B63*COS(((360-$B$6)-$C63+90)*PI()/180)))</f>
      </c>
      <c r="E63" s="237">
        <f>IF('Data Entry'!$Q42="","",IF(ISERROR($B63*SIN(((360-$B$6)-$C63+90)*PI()/180)),"Error",$B63*SIN(((360-$B$6)-$C63+90)*PI()/180)))</f>
      </c>
      <c r="F63" s="234">
        <f t="shared" si="2"/>
      </c>
      <c r="G63" s="234">
        <f t="shared" si="2"/>
      </c>
      <c r="H63" s="83"/>
      <c r="I63" s="245">
        <f t="shared" si="3"/>
      </c>
      <c r="J63" s="245">
        <f t="shared" si="0"/>
      </c>
      <c r="K63" s="188">
        <f t="shared" si="4"/>
      </c>
      <c r="L63" s="187">
        <f t="shared" si="5"/>
      </c>
      <c r="M63" s="245">
        <f t="shared" si="6"/>
      </c>
      <c r="N63" s="245">
        <f t="shared" si="7"/>
      </c>
      <c r="O63" s="83"/>
      <c r="P63" s="253">
        <f t="shared" si="1"/>
      </c>
      <c r="Q63" s="254">
        <f t="shared" si="8"/>
      </c>
      <c r="R63"/>
      <c r="S63" s="12"/>
      <c r="T63" s="12"/>
      <c r="U63" s="78"/>
      <c r="V63" s="12"/>
      <c r="W63" s="75"/>
      <c r="X63" s="23"/>
      <c r="Y63" s="23"/>
      <c r="Z63" s="23"/>
      <c r="AA63" s="23"/>
      <c r="AB63" s="23"/>
    </row>
    <row r="64" spans="1:26" ht="12.75">
      <c r="A64" s="235">
        <f>IF(ISNUMBER('Data Entry'!$Q43),'Data Entry'!A43,"")</f>
      </c>
      <c r="B64" s="234">
        <f>IF(ISNUMBER('Data Entry'!$Q43),IF($B$3='Data Entry'!$B$8,'Data Entry'!L43,IF(AND($B$3=0,'Data Entry'!$B$8=1),'Data Entry'!L43/'Data Entry'!$B$9,IF(AND($B$3=1,'Data Entry'!$B$8=0),'Data Entry'!L43*'Data Entry'!$B$9,"Conversion Error"))),"")</f>
      </c>
      <c r="C64" s="234">
        <f>IF(ISNUMBER('Data Entry'!$Q43),IF(ISNUMBER('Data Entry'!$M43),'Data Entry'!$M43,IF(ISNUMBER('Data Entry'!$N43),'Data Entry'!$N43,"Error")),"")</f>
      </c>
      <c r="D64" s="236">
        <f>IF('Data Entry'!$Q43="","",IF(ISERROR($B64*COS(((360-$B$6)-$C64+90)*PI()/180)),"Error",$B64*COS(((360-$B$6)-$C64+90)*PI()/180)))</f>
      </c>
      <c r="E64" s="237">
        <f>IF('Data Entry'!$Q43="","",IF(ISERROR($B64*SIN(((360-$B$6)-$C64+90)*PI()/180)),"Error",$B64*SIN(((360-$B$6)-$C64+90)*PI()/180)))</f>
      </c>
      <c r="F64" s="234">
        <f t="shared" si="2"/>
      </c>
      <c r="G64" s="234">
        <f t="shared" si="2"/>
      </c>
      <c r="H64" s="83"/>
      <c r="I64" s="245">
        <f t="shared" si="3"/>
      </c>
      <c r="J64" s="245">
        <f t="shared" si="0"/>
      </c>
      <c r="K64" s="188">
        <f t="shared" si="4"/>
      </c>
      <c r="L64" s="187">
        <f t="shared" si="5"/>
      </c>
      <c r="M64" s="245">
        <f t="shared" si="6"/>
      </c>
      <c r="N64" s="245">
        <f t="shared" si="7"/>
      </c>
      <c r="O64" s="83"/>
      <c r="P64" s="253">
        <f t="shared" si="1"/>
      </c>
      <c r="Q64" s="254">
        <f t="shared" si="8"/>
      </c>
      <c r="R64"/>
      <c r="S64" s="73"/>
      <c r="T64" s="73"/>
      <c r="U64" s="78"/>
      <c r="V64" s="33"/>
      <c r="W64" s="8"/>
      <c r="X64"/>
      <c r="Z64"/>
    </row>
    <row r="65" spans="1:26" ht="12.75">
      <c r="A65" s="235">
        <f>IF(ISNUMBER('Data Entry'!$Q44),'Data Entry'!A44,"")</f>
      </c>
      <c r="B65" s="234">
        <f>IF(ISNUMBER('Data Entry'!$Q44),IF($B$3='Data Entry'!$B$8,'Data Entry'!L44,IF(AND($B$3=0,'Data Entry'!$B$8=1),'Data Entry'!L44/'Data Entry'!$B$9,IF(AND($B$3=1,'Data Entry'!$B$8=0),'Data Entry'!L44*'Data Entry'!$B$9,"Conversion Error"))),"")</f>
      </c>
      <c r="C65" s="234">
        <f>IF(ISNUMBER('Data Entry'!$Q44),IF(ISNUMBER('Data Entry'!$M44),'Data Entry'!$M44,IF(ISNUMBER('Data Entry'!$N44),'Data Entry'!$N44,"Error")),"")</f>
      </c>
      <c r="D65" s="236">
        <f>IF('Data Entry'!$Q44="","",IF(ISERROR($B65*COS(((360-$B$6)-$C65+90)*PI()/180)),"Error",$B65*COS(((360-$B$6)-$C65+90)*PI()/180)))</f>
      </c>
      <c r="E65" s="237">
        <f>IF('Data Entry'!$Q44="","",IF(ISERROR($B65*SIN(((360-$B$6)-$C65+90)*PI()/180)),"Error",$B65*SIN(((360-$B$6)-$C65+90)*PI()/180)))</f>
      </c>
      <c r="F65" s="234">
        <f t="shared" si="2"/>
      </c>
      <c r="G65" s="234">
        <f t="shared" si="2"/>
      </c>
      <c r="H65" s="83"/>
      <c r="I65" s="245">
        <f t="shared" si="3"/>
      </c>
      <c r="J65" s="245">
        <f t="shared" si="0"/>
      </c>
      <c r="K65" s="188">
        <f t="shared" si="4"/>
      </c>
      <c r="L65" s="187">
        <f t="shared" si="5"/>
      </c>
      <c r="M65" s="245">
        <f t="shared" si="6"/>
      </c>
      <c r="N65" s="245">
        <f t="shared" si="7"/>
      </c>
      <c r="O65" s="83"/>
      <c r="P65" s="253">
        <f t="shared" si="1"/>
      </c>
      <c r="Q65" s="254">
        <f t="shared" si="8"/>
      </c>
      <c r="R65"/>
      <c r="S65" s="76"/>
      <c r="T65" s="77"/>
      <c r="U65" s="78"/>
      <c r="V65" s="33"/>
      <c r="W65" s="8"/>
      <c r="X65"/>
      <c r="Z65"/>
    </row>
    <row r="66" spans="1:26" ht="12.75">
      <c r="A66" s="235">
        <f>IF(ISNUMBER('Data Entry'!$Q45),'Data Entry'!A45,"")</f>
      </c>
      <c r="B66" s="234">
        <f>IF(ISNUMBER('Data Entry'!$Q45),IF($B$3='Data Entry'!$B$8,'Data Entry'!L45,IF(AND($B$3=0,'Data Entry'!$B$8=1),'Data Entry'!L45/'Data Entry'!$B$9,IF(AND($B$3=1,'Data Entry'!$B$8=0),'Data Entry'!L45*'Data Entry'!$B$9,"Conversion Error"))),"")</f>
      </c>
      <c r="C66" s="234">
        <f>IF(ISNUMBER('Data Entry'!$Q45),IF(ISNUMBER('Data Entry'!$M45),'Data Entry'!$M45,IF(ISNUMBER('Data Entry'!$N45),'Data Entry'!$N45,"Error")),"")</f>
      </c>
      <c r="D66" s="236">
        <f>IF('Data Entry'!$Q45="","",IF(ISERROR($B66*COS(((360-$B$6)-$C66+90)*PI()/180)),"Error",$B66*COS(((360-$B$6)-$C66+90)*PI()/180)))</f>
      </c>
      <c r="E66" s="237">
        <f>IF('Data Entry'!$Q45="","",IF(ISERROR($B66*SIN(((360-$B$6)-$C66+90)*PI()/180)),"Error",$B66*SIN(((360-$B$6)-$C66+90)*PI()/180)))</f>
      </c>
      <c r="F66" s="234">
        <f t="shared" si="2"/>
      </c>
      <c r="G66" s="234">
        <f t="shared" si="2"/>
      </c>
      <c r="H66" s="83"/>
      <c r="I66" s="245">
        <f t="shared" si="3"/>
      </c>
      <c r="J66" s="245">
        <f t="shared" si="0"/>
      </c>
      <c r="K66" s="188">
        <f t="shared" si="4"/>
      </c>
      <c r="L66" s="187">
        <f t="shared" si="5"/>
      </c>
      <c r="M66" s="245">
        <f t="shared" si="6"/>
      </c>
      <c r="N66" s="245">
        <f t="shared" si="7"/>
      </c>
      <c r="O66" s="83"/>
      <c r="P66" s="253">
        <f t="shared" si="1"/>
      </c>
      <c r="Q66" s="254">
        <f t="shared" si="8"/>
      </c>
      <c r="R66"/>
      <c r="S66" s="33"/>
      <c r="T66" s="78"/>
      <c r="U66" s="78"/>
      <c r="V66" s="78"/>
      <c r="W66" s="8"/>
      <c r="X66"/>
      <c r="Z66"/>
    </row>
    <row r="67" spans="1:26" ht="12.75">
      <c r="A67" s="235">
        <f>IF(ISNUMBER('Data Entry'!$Q46),'Data Entry'!A46,"")</f>
      </c>
      <c r="B67" s="234">
        <f>IF(ISNUMBER('Data Entry'!$Q46),IF($B$3='Data Entry'!$B$8,'Data Entry'!L46,IF(AND($B$3=0,'Data Entry'!$B$8=1),'Data Entry'!L46/'Data Entry'!$B$9,IF(AND($B$3=1,'Data Entry'!$B$8=0),'Data Entry'!L46*'Data Entry'!$B$9,"Conversion Error"))),"")</f>
      </c>
      <c r="C67" s="234">
        <f>IF(ISNUMBER('Data Entry'!$Q46),IF(ISNUMBER('Data Entry'!$M46),'Data Entry'!$M46,IF(ISNUMBER('Data Entry'!$N46),'Data Entry'!$N46,"Error")),"")</f>
      </c>
      <c r="D67" s="236">
        <f>IF('Data Entry'!$Q46="","",IF(ISERROR($B67*COS(((360-$B$6)-$C67+90)*PI()/180)),"Error",$B67*COS(((360-$B$6)-$C67+90)*PI()/180)))</f>
      </c>
      <c r="E67" s="237">
        <f>IF('Data Entry'!$Q46="","",IF(ISERROR($B67*SIN(((360-$B$6)-$C67+90)*PI()/180)),"Error",$B67*SIN(((360-$B$6)-$C67+90)*PI()/180)))</f>
      </c>
      <c r="F67" s="234">
        <f t="shared" si="2"/>
      </c>
      <c r="G67" s="234">
        <f t="shared" si="2"/>
      </c>
      <c r="H67" s="83"/>
      <c r="I67" s="245">
        <f t="shared" si="3"/>
      </c>
      <c r="J67" s="245">
        <f t="shared" si="0"/>
      </c>
      <c r="K67" s="188">
        <f t="shared" si="4"/>
      </c>
      <c r="L67" s="187">
        <f t="shared" si="5"/>
      </c>
      <c r="M67" s="245">
        <f t="shared" si="6"/>
      </c>
      <c r="N67" s="245">
        <f t="shared" si="7"/>
      </c>
      <c r="O67" s="83"/>
      <c r="P67" s="253">
        <f t="shared" si="1"/>
      </c>
      <c r="Q67" s="254">
        <f t="shared" si="8"/>
      </c>
      <c r="R67"/>
      <c r="S67" s="12"/>
      <c r="T67" s="12"/>
      <c r="U67" s="78"/>
      <c r="V67" s="12"/>
      <c r="W67" s="8"/>
      <c r="X67"/>
      <c r="Z67"/>
    </row>
    <row r="68" spans="1:26" ht="12.75">
      <c r="A68" s="235">
        <f>IF(ISNUMBER('Data Entry'!$Q47),'Data Entry'!A47,"")</f>
      </c>
      <c r="B68" s="234">
        <f>IF(ISNUMBER('Data Entry'!$Q47),IF($B$3='Data Entry'!$B$8,'Data Entry'!L47,IF(AND($B$3=0,'Data Entry'!$B$8=1),'Data Entry'!L47/'Data Entry'!$B$9,IF(AND($B$3=1,'Data Entry'!$B$8=0),'Data Entry'!L47*'Data Entry'!$B$9,"Conversion Error"))),"")</f>
      </c>
      <c r="C68" s="234">
        <f>IF(ISNUMBER('Data Entry'!$Q47),IF(ISNUMBER('Data Entry'!$M47),'Data Entry'!$M47,IF(ISNUMBER('Data Entry'!$N47),'Data Entry'!$N47,"Error")),"")</f>
      </c>
      <c r="D68" s="236">
        <f>IF('Data Entry'!$Q47="","",IF(ISERROR($B68*COS(((360-$B$6)-$C68+90)*PI()/180)),"Error",$B68*COS(((360-$B$6)-$C68+90)*PI()/180)))</f>
      </c>
      <c r="E68" s="237">
        <f>IF('Data Entry'!$Q47="","",IF(ISERROR($B68*SIN(((360-$B$6)-$C68+90)*PI()/180)),"Error",$B68*SIN(((360-$B$6)-$C68+90)*PI()/180)))</f>
      </c>
      <c r="F68" s="234">
        <f t="shared" si="2"/>
      </c>
      <c r="G68" s="234">
        <f t="shared" si="2"/>
      </c>
      <c r="H68" s="83"/>
      <c r="I68" s="245">
        <f t="shared" si="3"/>
      </c>
      <c r="J68" s="245">
        <f t="shared" si="0"/>
      </c>
      <c r="K68" s="188">
        <f t="shared" si="4"/>
      </c>
      <c r="L68" s="187">
        <f t="shared" si="5"/>
      </c>
      <c r="M68" s="245">
        <f t="shared" si="6"/>
      </c>
      <c r="N68" s="245">
        <f t="shared" si="7"/>
      </c>
      <c r="O68" s="83"/>
      <c r="P68" s="253">
        <f t="shared" si="1"/>
      </c>
      <c r="Q68" s="254">
        <f t="shared" si="8"/>
      </c>
      <c r="R68"/>
      <c r="S68" s="73"/>
      <c r="T68" s="73"/>
      <c r="U68" s="78"/>
      <c r="V68" s="33"/>
      <c r="W68" s="8"/>
      <c r="X68"/>
      <c r="Z68"/>
    </row>
    <row r="69" spans="1:26" ht="12.75">
      <c r="A69" s="235">
        <f>IF(ISNUMBER('Data Entry'!$Q48),'Data Entry'!A48,"")</f>
      </c>
      <c r="B69" s="234">
        <f>IF(ISNUMBER('Data Entry'!$Q48),IF($B$3='Data Entry'!$B$8,'Data Entry'!L48,IF(AND($B$3=0,'Data Entry'!$B$8=1),'Data Entry'!L48/'Data Entry'!$B$9,IF(AND($B$3=1,'Data Entry'!$B$8=0),'Data Entry'!L48*'Data Entry'!$B$9,"Conversion Error"))),"")</f>
      </c>
      <c r="C69" s="234">
        <f>IF(ISNUMBER('Data Entry'!$Q48),IF(ISNUMBER('Data Entry'!$M48),'Data Entry'!$M48,IF(ISNUMBER('Data Entry'!$N48),'Data Entry'!$N48,"Error")),"")</f>
      </c>
      <c r="D69" s="236">
        <f>IF('Data Entry'!$Q48="","",IF(ISERROR($B69*COS(((360-$B$6)-$C69+90)*PI()/180)),"Error",$B69*COS(((360-$B$6)-$C69+90)*PI()/180)))</f>
      </c>
      <c r="E69" s="237">
        <f>IF('Data Entry'!$Q48="","",IF(ISERROR($B69*SIN(((360-$B$6)-$C69+90)*PI()/180)),"Error",$B69*SIN(((360-$B$6)-$C69+90)*PI()/180)))</f>
      </c>
      <c r="F69" s="234">
        <f t="shared" si="2"/>
      </c>
      <c r="G69" s="234">
        <f t="shared" si="2"/>
      </c>
      <c r="H69" s="83"/>
      <c r="I69" s="245">
        <f t="shared" si="3"/>
      </c>
      <c r="J69" s="245">
        <f t="shared" si="0"/>
      </c>
      <c r="K69" s="188">
        <f t="shared" si="4"/>
      </c>
      <c r="L69" s="187">
        <f t="shared" si="5"/>
      </c>
      <c r="M69" s="245">
        <f t="shared" si="6"/>
      </c>
      <c r="N69" s="245">
        <f t="shared" si="7"/>
      </c>
      <c r="O69" s="83"/>
      <c r="P69" s="253">
        <f t="shared" si="1"/>
      </c>
      <c r="Q69" s="254">
        <f t="shared" si="8"/>
      </c>
      <c r="R69"/>
      <c r="S69" s="40"/>
      <c r="T69" s="39"/>
      <c r="U69" s="78"/>
      <c r="V69" s="33"/>
      <c r="W69" s="8"/>
      <c r="X69"/>
      <c r="Z69"/>
    </row>
    <row r="70" spans="1:26" ht="12.75">
      <c r="A70" s="235">
        <f>IF(ISNUMBER('Data Entry'!$Q49),'Data Entry'!A49,"")</f>
      </c>
      <c r="B70" s="234">
        <f>IF(ISNUMBER('Data Entry'!$Q49),IF($B$3='Data Entry'!$B$8,'Data Entry'!L49,IF(AND($B$3=0,'Data Entry'!$B$8=1),'Data Entry'!L49/'Data Entry'!$B$9,IF(AND($B$3=1,'Data Entry'!$B$8=0),'Data Entry'!L49*'Data Entry'!$B$9,"Conversion Error"))),"")</f>
      </c>
      <c r="C70" s="234">
        <f>IF(ISNUMBER('Data Entry'!$Q49),IF(ISNUMBER('Data Entry'!$M49),'Data Entry'!$M49,IF(ISNUMBER('Data Entry'!$N49),'Data Entry'!$N49,"Error")),"")</f>
      </c>
      <c r="D70" s="236">
        <f>IF('Data Entry'!$Q49="","",IF(ISERROR($B70*COS(((360-$B$6)-$C70+90)*PI()/180)),"Error",$B70*COS(((360-$B$6)-$C70+90)*PI()/180)))</f>
      </c>
      <c r="E70" s="237">
        <f>IF('Data Entry'!$Q49="","",IF(ISERROR($B70*SIN(((360-$B$6)-$C70+90)*PI()/180)),"Error",$B70*SIN(((360-$B$6)-$C70+90)*PI()/180)))</f>
      </c>
      <c r="F70" s="234">
        <f t="shared" si="2"/>
      </c>
      <c r="G70" s="234">
        <f t="shared" si="2"/>
      </c>
      <c r="H70" s="83"/>
      <c r="I70" s="245">
        <f t="shared" si="3"/>
      </c>
      <c r="J70" s="245">
        <f aca="true" t="shared" si="9" ref="J70:J101">IF(K70="","",IF(AND($K70&gt;0,$L70&gt;0),(360-ATAN($L70/$K70)*180/PI()+360-$B$6+90)-(360*(INT((360-ATAN($L70/$K70)*180/PI()+360-$B$6+90)/360))),(IF(AND($K70&gt;0,$L70&lt;0),(0-ATAN($L70/$K70)*180/PI()+360-$B$6+90)-(360*(INT((0-ATAN($L70/$K70)*180/PI()+360-$B$6+90)/360))),(IF(AND($K70&lt;0,$L70&lt;0),(180-ATAN($L70/$K70)*180/PI()+360-$B$6+90)-(360*(INT((180-ATAN($L70/$K70)*180/PI()+360-$B$6+90)/360))),(180-ATAN($L70/$K70)*180/PI()+360-$B$6+90)-(360*(INT((180-ATAN($L70/$K70)*180/PI()+360-$B$6+90)/360)))))))))</f>
      </c>
      <c r="K70" s="188">
        <f t="shared" si="4"/>
      </c>
      <c r="L70" s="187">
        <f t="shared" si="5"/>
      </c>
      <c r="M70" s="245">
        <f t="shared" si="6"/>
      </c>
      <c r="N70" s="245">
        <f t="shared" si="7"/>
      </c>
      <c r="O70" s="83"/>
      <c r="P70" s="253">
        <f t="shared" si="1"/>
      </c>
      <c r="Q70" s="254">
        <f t="shared" si="8"/>
      </c>
      <c r="R70"/>
      <c r="S70" s="33"/>
      <c r="T70" s="79"/>
      <c r="U70" s="78"/>
      <c r="V70" s="78"/>
      <c r="W70" s="8"/>
      <c r="X70"/>
      <c r="Z70"/>
    </row>
    <row r="71" spans="1:26" ht="12.75">
      <c r="A71" s="235">
        <f>IF(ISNUMBER('Data Entry'!$Q50),'Data Entry'!A50,"")</f>
      </c>
      <c r="B71" s="234">
        <f>IF(ISNUMBER('Data Entry'!$Q50),IF($B$3='Data Entry'!$B$8,'Data Entry'!L50,IF(AND($B$3=0,'Data Entry'!$B$8=1),'Data Entry'!L50/'Data Entry'!$B$9,IF(AND($B$3=1,'Data Entry'!$B$8=0),'Data Entry'!L50*'Data Entry'!$B$9,"Conversion Error"))),"")</f>
      </c>
      <c r="C71" s="234">
        <f>IF(ISNUMBER('Data Entry'!$Q50),IF(ISNUMBER('Data Entry'!$M50),'Data Entry'!$M50,IF(ISNUMBER('Data Entry'!$N50),'Data Entry'!$N50,"Error")),"")</f>
      </c>
      <c r="D71" s="236">
        <f>IF('Data Entry'!$Q50="","",IF(ISERROR($B71*COS(((360-$B$6)-$C71+90)*PI()/180)),"Error",$B71*COS(((360-$B$6)-$C71+90)*PI()/180)))</f>
      </c>
      <c r="E71" s="237">
        <f>IF('Data Entry'!$Q50="","",IF(ISERROR($B71*SIN(((360-$B$6)-$C71+90)*PI()/180)),"Error",$B71*SIN(((360-$B$6)-$C71+90)*PI()/180)))</f>
      </c>
      <c r="F71" s="234">
        <f t="shared" si="2"/>
      </c>
      <c r="G71" s="234">
        <f t="shared" si="2"/>
      </c>
      <c r="H71" s="83"/>
      <c r="I71" s="245">
        <f t="shared" si="3"/>
      </c>
      <c r="J71" s="245">
        <f t="shared" si="9"/>
      </c>
      <c r="K71" s="188">
        <f t="shared" si="4"/>
      </c>
      <c r="L71" s="187">
        <f t="shared" si="5"/>
      </c>
      <c r="M71" s="245">
        <f t="shared" si="6"/>
      </c>
      <c r="N71" s="245">
        <f t="shared" si="7"/>
      </c>
      <c r="O71" s="83"/>
      <c r="P71" s="253">
        <f t="shared" si="1"/>
      </c>
      <c r="Q71" s="254">
        <f t="shared" si="8"/>
      </c>
      <c r="R71"/>
      <c r="S71" s="25"/>
      <c r="T71" s="30"/>
      <c r="U71" s="57"/>
      <c r="V71" s="57"/>
      <c r="W71"/>
      <c r="X71"/>
      <c r="Z71"/>
    </row>
    <row r="72" spans="1:26" ht="12.75">
      <c r="A72" s="235">
        <f>IF(ISNUMBER('Data Entry'!$Q51),'Data Entry'!A51,"")</f>
      </c>
      <c r="B72" s="234">
        <f>IF(ISNUMBER('Data Entry'!$Q51),IF($B$3='Data Entry'!$B$8,'Data Entry'!L51,IF(AND($B$3=0,'Data Entry'!$B$8=1),'Data Entry'!L51/'Data Entry'!$B$9,IF(AND($B$3=1,'Data Entry'!$B$8=0),'Data Entry'!L51*'Data Entry'!$B$9,"Conversion Error"))),"")</f>
      </c>
      <c r="C72" s="234">
        <f>IF(ISNUMBER('Data Entry'!$Q51),IF(ISNUMBER('Data Entry'!$M51),'Data Entry'!$M51,IF(ISNUMBER('Data Entry'!$N51),'Data Entry'!$N51,"Error")),"")</f>
      </c>
      <c r="D72" s="236">
        <f>IF('Data Entry'!$Q51="","",IF(ISERROR($B72*COS(((360-$B$6)-$C72+90)*PI()/180)),"Error",$B72*COS(((360-$B$6)-$C72+90)*PI()/180)))</f>
      </c>
      <c r="E72" s="237">
        <f>IF('Data Entry'!$Q51="","",IF(ISERROR($B72*SIN(((360-$B$6)-$C72+90)*PI()/180)),"Error",$B72*SIN(((360-$B$6)-$C72+90)*PI()/180)))</f>
      </c>
      <c r="F72" s="234">
        <f t="shared" si="2"/>
      </c>
      <c r="G72" s="234">
        <f t="shared" si="2"/>
      </c>
      <c r="H72" s="83"/>
      <c r="I72" s="245">
        <f t="shared" si="3"/>
      </c>
      <c r="J72" s="245">
        <f t="shared" si="9"/>
      </c>
      <c r="K72" s="188">
        <f t="shared" si="4"/>
      </c>
      <c r="L72" s="187">
        <f t="shared" si="5"/>
      </c>
      <c r="M72" s="245">
        <f t="shared" si="6"/>
      </c>
      <c r="N72" s="245">
        <f t="shared" si="7"/>
      </c>
      <c r="O72" s="83"/>
      <c r="P72" s="253">
        <f t="shared" si="1"/>
      </c>
      <c r="Q72" s="254">
        <f t="shared" si="8"/>
      </c>
      <c r="R72"/>
      <c r="S72" s="25"/>
      <c r="T72" s="30"/>
      <c r="V72" s="26"/>
      <c r="W72"/>
      <c r="X72"/>
      <c r="Z72"/>
    </row>
    <row r="73" spans="1:26" ht="12.75">
      <c r="A73" s="235">
        <f>IF(ISNUMBER('Data Entry'!$Q52),'Data Entry'!A52,"")</f>
      </c>
      <c r="B73" s="234">
        <f>IF(ISNUMBER('Data Entry'!$Q52),IF($B$3='Data Entry'!$B$8,'Data Entry'!L52,IF(AND($B$3=0,'Data Entry'!$B$8=1),'Data Entry'!L52/'Data Entry'!$B$9,IF(AND($B$3=1,'Data Entry'!$B$8=0),'Data Entry'!L52*'Data Entry'!$B$9,"Conversion Error"))),"")</f>
      </c>
      <c r="C73" s="234">
        <f>IF(ISNUMBER('Data Entry'!$Q52),IF(ISNUMBER('Data Entry'!$M52),'Data Entry'!$M52,IF(ISNUMBER('Data Entry'!$N52),'Data Entry'!$N52,"Error")),"")</f>
      </c>
      <c r="D73" s="236">
        <f>IF('Data Entry'!$Q52="","",IF(ISERROR($B73*COS(((360-$B$6)-$C73+90)*PI()/180)),"Error",$B73*COS(((360-$B$6)-$C73+90)*PI()/180)))</f>
      </c>
      <c r="E73" s="237">
        <f>IF('Data Entry'!$Q52="","",IF(ISERROR($B73*SIN(((360-$B$6)-$C73+90)*PI()/180)),"Error",$B73*SIN(((360-$B$6)-$C73+90)*PI()/180)))</f>
      </c>
      <c r="F73" s="234">
        <f t="shared" si="2"/>
      </c>
      <c r="G73" s="234">
        <f t="shared" si="2"/>
      </c>
      <c r="H73" s="83"/>
      <c r="I73" s="245">
        <f t="shared" si="3"/>
      </c>
      <c r="J73" s="245">
        <f t="shared" si="9"/>
      </c>
      <c r="K73" s="188">
        <f t="shared" si="4"/>
      </c>
      <c r="L73" s="187">
        <f t="shared" si="5"/>
      </c>
      <c r="M73" s="245">
        <f t="shared" si="6"/>
      </c>
      <c r="N73" s="245">
        <f t="shared" si="7"/>
      </c>
      <c r="O73" s="83"/>
      <c r="P73" s="253">
        <f t="shared" si="1"/>
      </c>
      <c r="Q73" s="254">
        <f t="shared" si="8"/>
      </c>
      <c r="R73"/>
      <c r="S73" s="25"/>
      <c r="T73" s="30"/>
      <c r="V73" s="26"/>
      <c r="W73"/>
      <c r="X73"/>
      <c r="Z73"/>
    </row>
    <row r="74" spans="1:26" ht="12.75">
      <c r="A74" s="235">
        <f>IF(ISNUMBER('Data Entry'!$Q53),'Data Entry'!A53,"")</f>
      </c>
      <c r="B74" s="234">
        <f>IF(ISNUMBER('Data Entry'!$Q53),IF($B$3='Data Entry'!$B$8,'Data Entry'!L53,IF(AND($B$3=0,'Data Entry'!$B$8=1),'Data Entry'!L53/'Data Entry'!$B$9,IF(AND($B$3=1,'Data Entry'!$B$8=0),'Data Entry'!L53*'Data Entry'!$B$9,"Conversion Error"))),"")</f>
      </c>
      <c r="C74" s="234">
        <f>IF(ISNUMBER('Data Entry'!$Q53),IF(ISNUMBER('Data Entry'!$M53),'Data Entry'!$M53,IF(ISNUMBER('Data Entry'!$N53),'Data Entry'!$N53,"Error")),"")</f>
      </c>
      <c r="D74" s="236">
        <f>IF('Data Entry'!$Q53="","",IF(ISERROR($B74*COS(((360-$B$6)-$C74+90)*PI()/180)),"Error",$B74*COS(((360-$B$6)-$C74+90)*PI()/180)))</f>
      </c>
      <c r="E74" s="237">
        <f>IF('Data Entry'!$Q53="","",IF(ISERROR($B74*SIN(((360-$B$6)-$C74+90)*PI()/180)),"Error",$B74*SIN(((360-$B$6)-$C74+90)*PI()/180)))</f>
      </c>
      <c r="F74" s="234">
        <f t="shared" si="2"/>
      </c>
      <c r="G74" s="234">
        <f t="shared" si="2"/>
      </c>
      <c r="H74" s="83"/>
      <c r="I74" s="245">
        <f t="shared" si="3"/>
      </c>
      <c r="J74" s="245">
        <f t="shared" si="9"/>
      </c>
      <c r="K74" s="188">
        <f t="shared" si="4"/>
      </c>
      <c r="L74" s="187">
        <f t="shared" si="5"/>
      </c>
      <c r="M74" s="245">
        <f t="shared" si="6"/>
      </c>
      <c r="N74" s="245">
        <f t="shared" si="7"/>
      </c>
      <c r="O74" s="83"/>
      <c r="P74" s="253">
        <f t="shared" si="1"/>
      </c>
      <c r="Q74" s="254">
        <f t="shared" si="8"/>
      </c>
      <c r="R74"/>
      <c r="S74" s="25"/>
      <c r="T74" s="30"/>
      <c r="V74" s="26"/>
      <c r="W74"/>
      <c r="X74"/>
      <c r="Z74"/>
    </row>
    <row r="75" spans="1:26" ht="12.75">
      <c r="A75" s="235">
        <f>IF(ISNUMBER('Data Entry'!$Q54),'Data Entry'!A54,"")</f>
      </c>
      <c r="B75" s="234">
        <f>IF(ISNUMBER('Data Entry'!$Q54),IF($B$3='Data Entry'!$B$8,'Data Entry'!L54,IF(AND($B$3=0,'Data Entry'!$B$8=1),'Data Entry'!L54/'Data Entry'!$B$9,IF(AND($B$3=1,'Data Entry'!$B$8=0),'Data Entry'!L54*'Data Entry'!$B$9,"Conversion Error"))),"")</f>
      </c>
      <c r="C75" s="234">
        <f>IF(ISNUMBER('Data Entry'!$Q54),IF(ISNUMBER('Data Entry'!$M54),'Data Entry'!$M54,IF(ISNUMBER('Data Entry'!$N54),'Data Entry'!$N54,"Error")),"")</f>
      </c>
      <c r="D75" s="236">
        <f>IF('Data Entry'!$Q54="","",IF(ISERROR($B75*COS(((360-$B$6)-$C75+90)*PI()/180)),"Error",$B75*COS(((360-$B$6)-$C75+90)*PI()/180)))</f>
      </c>
      <c r="E75" s="237">
        <f>IF('Data Entry'!$Q54="","",IF(ISERROR($B75*SIN(((360-$B$6)-$C75+90)*PI()/180)),"Error",$B75*SIN(((360-$B$6)-$C75+90)*PI()/180)))</f>
      </c>
      <c r="F75" s="234">
        <f t="shared" si="2"/>
      </c>
      <c r="G75" s="234">
        <f t="shared" si="2"/>
      </c>
      <c r="H75" s="83"/>
      <c r="I75" s="245">
        <f t="shared" si="3"/>
      </c>
      <c r="J75" s="245">
        <f t="shared" si="9"/>
      </c>
      <c r="K75" s="188">
        <f t="shared" si="4"/>
      </c>
      <c r="L75" s="187">
        <f t="shared" si="5"/>
      </c>
      <c r="M75" s="245">
        <f t="shared" si="6"/>
      </c>
      <c r="N75" s="245">
        <f t="shared" si="7"/>
      </c>
      <c r="O75" s="83"/>
      <c r="P75" s="253">
        <f t="shared" si="1"/>
      </c>
      <c r="Q75" s="254">
        <f t="shared" si="8"/>
      </c>
      <c r="R75"/>
      <c r="S75" s="25"/>
      <c r="T75" s="30"/>
      <c r="V75" s="31"/>
      <c r="W75"/>
      <c r="X75"/>
      <c r="Z75"/>
    </row>
    <row r="76" spans="1:26" ht="12.75">
      <c r="A76" s="235">
        <f>IF(ISNUMBER('Data Entry'!$Q55),'Data Entry'!A55,"")</f>
      </c>
      <c r="B76" s="234">
        <f>IF(ISNUMBER('Data Entry'!$Q55),IF($B$3='Data Entry'!$B$8,'Data Entry'!L55,IF(AND($B$3=0,'Data Entry'!$B$8=1),'Data Entry'!L55/'Data Entry'!$B$9,IF(AND($B$3=1,'Data Entry'!$B$8=0),'Data Entry'!L55*'Data Entry'!$B$9,"Conversion Error"))),"")</f>
      </c>
      <c r="C76" s="234">
        <f>IF(ISNUMBER('Data Entry'!$Q55),IF(ISNUMBER('Data Entry'!$M55),'Data Entry'!$M55,IF(ISNUMBER('Data Entry'!$N55),'Data Entry'!$N55,"Error")),"")</f>
      </c>
      <c r="D76" s="236">
        <f>IF('Data Entry'!$Q55="","",IF(ISERROR($B76*COS(((360-$B$6)-$C76+90)*PI()/180)),"Error",$B76*COS(((360-$B$6)-$C76+90)*PI()/180)))</f>
      </c>
      <c r="E76" s="237">
        <f>IF('Data Entry'!$Q55="","",IF(ISERROR($B76*SIN(((360-$B$6)-$C76+90)*PI()/180)),"Error",$B76*SIN(((360-$B$6)-$C76+90)*PI()/180)))</f>
      </c>
      <c r="F76" s="234">
        <f t="shared" si="2"/>
      </c>
      <c r="G76" s="234">
        <f t="shared" si="2"/>
      </c>
      <c r="H76" s="83"/>
      <c r="I76" s="245">
        <f t="shared" si="3"/>
      </c>
      <c r="J76" s="245">
        <f t="shared" si="9"/>
      </c>
      <c r="K76" s="188">
        <f t="shared" si="4"/>
      </c>
      <c r="L76" s="187">
        <f t="shared" si="5"/>
      </c>
      <c r="M76" s="245">
        <f t="shared" si="6"/>
      </c>
      <c r="N76" s="245">
        <f t="shared" si="7"/>
      </c>
      <c r="O76" s="83"/>
      <c r="P76" s="253">
        <f t="shared" si="1"/>
      </c>
      <c r="Q76" s="254">
        <f t="shared" si="8"/>
      </c>
      <c r="R76"/>
      <c r="S76" s="25"/>
      <c r="T76" s="30"/>
      <c r="U76" s="26"/>
      <c r="V76" s="26"/>
      <c r="W76"/>
      <c r="X76"/>
      <c r="Z76"/>
    </row>
    <row r="77" spans="1:26" ht="12.75">
      <c r="A77" s="235">
        <f>IF(ISNUMBER('Data Entry'!$Q56),'Data Entry'!A56,"")</f>
      </c>
      <c r="B77" s="234">
        <f>IF(ISNUMBER('Data Entry'!$Q56),IF($B$3='Data Entry'!$B$8,'Data Entry'!L56,IF(AND($B$3=0,'Data Entry'!$B$8=1),'Data Entry'!L56/'Data Entry'!$B$9,IF(AND($B$3=1,'Data Entry'!$B$8=0),'Data Entry'!L56*'Data Entry'!$B$9,"Conversion Error"))),"")</f>
      </c>
      <c r="C77" s="234">
        <f>IF(ISNUMBER('Data Entry'!$Q56),IF(ISNUMBER('Data Entry'!$M56),'Data Entry'!$M56,IF(ISNUMBER('Data Entry'!$N56),'Data Entry'!$N56,"Error")),"")</f>
      </c>
      <c r="D77" s="236">
        <f>IF('Data Entry'!$Q56="","",IF(ISERROR($B77*COS(((360-$B$6)-$C77+90)*PI()/180)),"Error",$B77*COS(((360-$B$6)-$C77+90)*PI()/180)))</f>
      </c>
      <c r="E77" s="237">
        <f>IF('Data Entry'!$Q56="","",IF(ISERROR($B77*SIN(((360-$B$6)-$C77+90)*PI()/180)),"Error",$B77*SIN(((360-$B$6)-$C77+90)*PI()/180)))</f>
      </c>
      <c r="F77" s="234">
        <f t="shared" si="2"/>
      </c>
      <c r="G77" s="234">
        <f t="shared" si="2"/>
      </c>
      <c r="H77" s="83"/>
      <c r="I77" s="245">
        <f t="shared" si="3"/>
      </c>
      <c r="J77" s="245">
        <f t="shared" si="9"/>
      </c>
      <c r="K77" s="188">
        <f t="shared" si="4"/>
      </c>
      <c r="L77" s="187">
        <f t="shared" si="5"/>
      </c>
      <c r="M77" s="245">
        <f t="shared" si="6"/>
      </c>
      <c r="N77" s="245">
        <f t="shared" si="7"/>
      </c>
      <c r="O77" s="83"/>
      <c r="P77" s="253">
        <f t="shared" si="1"/>
      </c>
      <c r="Q77" s="254">
        <f t="shared" si="8"/>
      </c>
      <c r="R77"/>
      <c r="S77" s="25"/>
      <c r="T77" s="30"/>
      <c r="U77" s="26"/>
      <c r="V77" s="26"/>
      <c r="W77"/>
      <c r="X77"/>
      <c r="Z77"/>
    </row>
    <row r="78" spans="1:26" ht="12.75">
      <c r="A78" s="235">
        <f>IF(ISNUMBER('Data Entry'!$Q57),'Data Entry'!A57,"")</f>
      </c>
      <c r="B78" s="234">
        <f>IF(ISNUMBER('Data Entry'!$Q57),IF($B$3='Data Entry'!$B$8,'Data Entry'!L57,IF(AND($B$3=0,'Data Entry'!$B$8=1),'Data Entry'!L57/'Data Entry'!$B$9,IF(AND($B$3=1,'Data Entry'!$B$8=0),'Data Entry'!L57*'Data Entry'!$B$9,"Conversion Error"))),"")</f>
      </c>
      <c r="C78" s="234">
        <f>IF(ISNUMBER('Data Entry'!$Q57),IF(ISNUMBER('Data Entry'!$M57),'Data Entry'!$M57,IF(ISNUMBER('Data Entry'!$N57),'Data Entry'!$N57,"Error")),"")</f>
      </c>
      <c r="D78" s="236">
        <f>IF('Data Entry'!$Q57="","",IF(ISERROR($B78*COS(((360-$B$6)-$C78+90)*PI()/180)),"Error",$B78*COS(((360-$B$6)-$C78+90)*PI()/180)))</f>
      </c>
      <c r="E78" s="237">
        <f>IF('Data Entry'!$Q57="","",IF(ISERROR($B78*SIN(((360-$B$6)-$C78+90)*PI()/180)),"Error",$B78*SIN(((360-$B$6)-$C78+90)*PI()/180)))</f>
      </c>
      <c r="F78" s="234">
        <f t="shared" si="2"/>
      </c>
      <c r="G78" s="234">
        <f t="shared" si="2"/>
      </c>
      <c r="H78" s="83"/>
      <c r="I78" s="245">
        <f t="shared" si="3"/>
      </c>
      <c r="J78" s="245">
        <f t="shared" si="9"/>
      </c>
      <c r="K78" s="188">
        <f t="shared" si="4"/>
      </c>
      <c r="L78" s="187">
        <f t="shared" si="5"/>
      </c>
      <c r="M78" s="245">
        <f t="shared" si="6"/>
      </c>
      <c r="N78" s="245">
        <f t="shared" si="7"/>
      </c>
      <c r="O78" s="83"/>
      <c r="P78" s="253">
        <f t="shared" si="1"/>
      </c>
      <c r="Q78" s="254">
        <f t="shared" si="8"/>
      </c>
      <c r="R78"/>
      <c r="S78" s="25"/>
      <c r="T78" s="30"/>
      <c r="U78" s="26"/>
      <c r="V78" s="26"/>
      <c r="W78"/>
      <c r="X78"/>
      <c r="Z78"/>
    </row>
    <row r="79" spans="1:26" ht="12.75">
      <c r="A79" s="235">
        <f>IF(ISNUMBER('Data Entry'!$Q58),'Data Entry'!A58,"")</f>
      </c>
      <c r="B79" s="234">
        <f>IF(ISNUMBER('Data Entry'!$Q58),IF($B$3='Data Entry'!$B$8,'Data Entry'!L58,IF(AND($B$3=0,'Data Entry'!$B$8=1),'Data Entry'!L58/'Data Entry'!$B$9,IF(AND($B$3=1,'Data Entry'!$B$8=0),'Data Entry'!L58*'Data Entry'!$B$9,"Conversion Error"))),"")</f>
      </c>
      <c r="C79" s="234">
        <f>IF(ISNUMBER('Data Entry'!$Q58),IF(ISNUMBER('Data Entry'!$M58),'Data Entry'!$M58,IF(ISNUMBER('Data Entry'!$N58),'Data Entry'!$N58,"Error")),"")</f>
      </c>
      <c r="D79" s="236">
        <f>IF('Data Entry'!$Q58="","",IF(ISERROR($B79*COS(((360-$B$6)-$C79+90)*PI()/180)),"Error",$B79*COS(((360-$B$6)-$C79+90)*PI()/180)))</f>
      </c>
      <c r="E79" s="237">
        <f>IF('Data Entry'!$Q58="","",IF(ISERROR($B79*SIN(((360-$B$6)-$C79+90)*PI()/180)),"Error",$B79*SIN(((360-$B$6)-$C79+90)*PI()/180)))</f>
      </c>
      <c r="F79" s="234">
        <f t="shared" si="2"/>
      </c>
      <c r="G79" s="234">
        <f t="shared" si="2"/>
      </c>
      <c r="H79" s="83"/>
      <c r="I79" s="245">
        <f t="shared" si="3"/>
      </c>
      <c r="J79" s="245">
        <f t="shared" si="9"/>
      </c>
      <c r="K79" s="188">
        <f t="shared" si="4"/>
      </c>
      <c r="L79" s="187">
        <f t="shared" si="5"/>
      </c>
      <c r="M79" s="245">
        <f t="shared" si="6"/>
      </c>
      <c r="N79" s="245">
        <f t="shared" si="7"/>
      </c>
      <c r="O79" s="83"/>
      <c r="P79" s="253">
        <f t="shared" si="1"/>
      </c>
      <c r="Q79" s="254">
        <f t="shared" si="8"/>
      </c>
      <c r="R79"/>
      <c r="S79" s="25"/>
      <c r="T79" s="30"/>
      <c r="U79" s="26"/>
      <c r="V79" s="26"/>
      <c r="W79"/>
      <c r="X79"/>
      <c r="Z79"/>
    </row>
    <row r="80" spans="1:26" ht="12.75">
      <c r="A80" s="235">
        <f>IF(ISNUMBER('Data Entry'!$Q59),'Data Entry'!A59,"")</f>
      </c>
      <c r="B80" s="234">
        <f>IF(ISNUMBER('Data Entry'!$Q59),IF($B$3='Data Entry'!$B$8,'Data Entry'!L59,IF(AND($B$3=0,'Data Entry'!$B$8=1),'Data Entry'!L59/'Data Entry'!$B$9,IF(AND($B$3=1,'Data Entry'!$B$8=0),'Data Entry'!L59*'Data Entry'!$B$9,"Conversion Error"))),"")</f>
      </c>
      <c r="C80" s="234">
        <f>IF(ISNUMBER('Data Entry'!$Q59),IF(ISNUMBER('Data Entry'!$M59),'Data Entry'!$M59,IF(ISNUMBER('Data Entry'!$N59),'Data Entry'!$N59,"Error")),"")</f>
      </c>
      <c r="D80" s="236">
        <f>IF('Data Entry'!$Q59="","",IF(ISERROR($B80*COS(((360-$B$6)-$C80+90)*PI()/180)),"Error",$B80*COS(((360-$B$6)-$C80+90)*PI()/180)))</f>
      </c>
      <c r="E80" s="237">
        <f>IF('Data Entry'!$Q59="","",IF(ISERROR($B80*SIN(((360-$B$6)-$C80+90)*PI()/180)),"Error",$B80*SIN(((360-$B$6)-$C80+90)*PI()/180)))</f>
      </c>
      <c r="F80" s="234">
        <f t="shared" si="2"/>
      </c>
      <c r="G80" s="234">
        <f t="shared" si="2"/>
      </c>
      <c r="H80" s="83"/>
      <c r="I80" s="245">
        <f t="shared" si="3"/>
      </c>
      <c r="J80" s="245">
        <f t="shared" si="9"/>
      </c>
      <c r="K80" s="188">
        <f t="shared" si="4"/>
      </c>
      <c r="L80" s="187">
        <f t="shared" si="5"/>
      </c>
      <c r="M80" s="245">
        <f t="shared" si="6"/>
      </c>
      <c r="N80" s="245">
        <f t="shared" si="7"/>
      </c>
      <c r="O80" s="83"/>
      <c r="P80" s="253">
        <f t="shared" si="1"/>
      </c>
      <c r="Q80" s="254">
        <f t="shared" si="8"/>
      </c>
      <c r="R80"/>
      <c r="S80" s="25"/>
      <c r="T80" s="30"/>
      <c r="U80" s="26"/>
      <c r="V80" s="26"/>
      <c r="W80"/>
      <c r="X80"/>
      <c r="Z80"/>
    </row>
    <row r="81" spans="1:26" ht="12.75">
      <c r="A81" s="235">
        <f>IF(ISNUMBER('Data Entry'!$Q60),'Data Entry'!A60,"")</f>
      </c>
      <c r="B81" s="234">
        <f>IF(ISNUMBER('Data Entry'!$Q60),IF($B$3='Data Entry'!$B$8,'Data Entry'!L60,IF(AND($B$3=0,'Data Entry'!$B$8=1),'Data Entry'!L60/'Data Entry'!$B$9,IF(AND($B$3=1,'Data Entry'!$B$8=0),'Data Entry'!L60*'Data Entry'!$B$9,"Conversion Error"))),"")</f>
      </c>
      <c r="C81" s="234">
        <f>IF(ISNUMBER('Data Entry'!$Q60),IF(ISNUMBER('Data Entry'!$M60),'Data Entry'!$M60,IF(ISNUMBER('Data Entry'!$N60),'Data Entry'!$N60,"Error")),"")</f>
      </c>
      <c r="D81" s="236">
        <f>IF('Data Entry'!$Q60="","",IF(ISERROR($B81*COS(((360-$B$6)-$C81+90)*PI()/180)),"Error",$B81*COS(((360-$B$6)-$C81+90)*PI()/180)))</f>
      </c>
      <c r="E81" s="237">
        <f>IF('Data Entry'!$Q60="","",IF(ISERROR($B81*SIN(((360-$B$6)-$C81+90)*PI()/180)),"Error",$B81*SIN(((360-$B$6)-$C81+90)*PI()/180)))</f>
      </c>
      <c r="F81" s="234">
        <f t="shared" si="2"/>
      </c>
      <c r="G81" s="234">
        <f t="shared" si="2"/>
      </c>
      <c r="H81" s="83"/>
      <c r="I81" s="245">
        <f t="shared" si="3"/>
      </c>
      <c r="J81" s="245">
        <f t="shared" si="9"/>
      </c>
      <c r="K81" s="188">
        <f t="shared" si="4"/>
      </c>
      <c r="L81" s="187">
        <f t="shared" si="5"/>
      </c>
      <c r="M81" s="245">
        <f t="shared" si="6"/>
      </c>
      <c r="N81" s="245">
        <f t="shared" si="7"/>
      </c>
      <c r="O81" s="83"/>
      <c r="P81" s="253">
        <f t="shared" si="1"/>
      </c>
      <c r="Q81" s="254">
        <f t="shared" si="8"/>
      </c>
      <c r="R81"/>
      <c r="S81" s="1"/>
      <c r="T81"/>
      <c r="U81" s="26"/>
      <c r="W81"/>
      <c r="X81"/>
      <c r="Z81"/>
    </row>
    <row r="82" spans="1:26" ht="12.75">
      <c r="A82" s="235">
        <f>IF(ISNUMBER('Data Entry'!$Q61),'Data Entry'!A61,"")</f>
      </c>
      <c r="B82" s="234">
        <f>IF(ISNUMBER('Data Entry'!$Q61),IF($B$3='Data Entry'!$B$8,'Data Entry'!L61,IF(AND($B$3=0,'Data Entry'!$B$8=1),'Data Entry'!L61/'Data Entry'!$B$9,IF(AND($B$3=1,'Data Entry'!$B$8=0),'Data Entry'!L61*'Data Entry'!$B$9,"Conversion Error"))),"")</f>
      </c>
      <c r="C82" s="234">
        <f>IF(ISNUMBER('Data Entry'!$Q61),IF(ISNUMBER('Data Entry'!$M61),'Data Entry'!$M61,IF(ISNUMBER('Data Entry'!$N61),'Data Entry'!$N61,"Error")),"")</f>
      </c>
      <c r="D82" s="236">
        <f>IF('Data Entry'!$Q61="","",IF(ISERROR($B82*COS(((360-$B$6)-$C82+90)*PI()/180)),"Error",$B82*COS(((360-$B$6)-$C82+90)*PI()/180)))</f>
      </c>
      <c r="E82" s="237">
        <f>IF('Data Entry'!$Q61="","",IF(ISERROR($B82*SIN(((360-$B$6)-$C82+90)*PI()/180)),"Error",$B82*SIN(((360-$B$6)-$C82+90)*PI()/180)))</f>
      </c>
      <c r="F82" s="234">
        <f t="shared" si="2"/>
      </c>
      <c r="G82" s="234">
        <f t="shared" si="2"/>
      </c>
      <c r="H82" s="83"/>
      <c r="I82" s="245">
        <f t="shared" si="3"/>
      </c>
      <c r="J82" s="245">
        <f t="shared" si="9"/>
      </c>
      <c r="K82" s="188">
        <f t="shared" si="4"/>
      </c>
      <c r="L82" s="187">
        <f t="shared" si="5"/>
      </c>
      <c r="M82" s="245">
        <f t="shared" si="6"/>
      </c>
      <c r="N82" s="245">
        <f t="shared" si="7"/>
      </c>
      <c r="O82" s="83"/>
      <c r="P82" s="253">
        <f t="shared" si="1"/>
      </c>
      <c r="Q82" s="254">
        <f t="shared" si="8"/>
      </c>
      <c r="R82"/>
      <c r="S82" s="1"/>
      <c r="T82"/>
      <c r="U82" s="26"/>
      <c r="W82"/>
      <c r="X82"/>
      <c r="Z82"/>
    </row>
    <row r="83" spans="1:26" ht="12.75">
      <c r="A83" s="235">
        <f>IF(ISNUMBER('Data Entry'!$Q62),'Data Entry'!A62,"")</f>
      </c>
      <c r="B83" s="234">
        <f>IF(ISNUMBER('Data Entry'!$Q62),IF($B$3='Data Entry'!$B$8,'Data Entry'!L62,IF(AND($B$3=0,'Data Entry'!$B$8=1),'Data Entry'!L62/'Data Entry'!$B$9,IF(AND($B$3=1,'Data Entry'!$B$8=0),'Data Entry'!L62*'Data Entry'!$B$9,"Conversion Error"))),"")</f>
      </c>
      <c r="C83" s="234">
        <f>IF(ISNUMBER('Data Entry'!$Q62),IF(ISNUMBER('Data Entry'!$M62),'Data Entry'!$M62,IF(ISNUMBER('Data Entry'!$N62),'Data Entry'!$N62,"Error")),"")</f>
      </c>
      <c r="D83" s="236">
        <f>IF('Data Entry'!$Q62="","",IF(ISERROR($B83*COS(((360-$B$6)-$C83+90)*PI()/180)),"Error",$B83*COS(((360-$B$6)-$C83+90)*PI()/180)))</f>
      </c>
      <c r="E83" s="237">
        <f>IF('Data Entry'!$Q62="","",IF(ISERROR($B83*SIN(((360-$B$6)-$C83+90)*PI()/180)),"Error",$B83*SIN(((360-$B$6)-$C83+90)*PI()/180)))</f>
      </c>
      <c r="F83" s="234">
        <f t="shared" si="2"/>
      </c>
      <c r="G83" s="234">
        <f t="shared" si="2"/>
      </c>
      <c r="H83" s="83"/>
      <c r="I83" s="245">
        <f t="shared" si="3"/>
      </c>
      <c r="J83" s="245">
        <f t="shared" si="9"/>
      </c>
      <c r="K83" s="188">
        <f t="shared" si="4"/>
      </c>
      <c r="L83" s="187">
        <f t="shared" si="5"/>
      </c>
      <c r="M83" s="245">
        <f t="shared" si="6"/>
      </c>
      <c r="N83" s="245">
        <f t="shared" si="7"/>
      </c>
      <c r="O83" s="83"/>
      <c r="P83" s="253">
        <f t="shared" si="1"/>
      </c>
      <c r="Q83" s="254">
        <f t="shared" si="8"/>
      </c>
      <c r="R83"/>
      <c r="S83" s="1"/>
      <c r="T83"/>
      <c r="U83" s="26"/>
      <c r="W83"/>
      <c r="X83"/>
      <c r="Z83"/>
    </row>
    <row r="84" spans="1:26" ht="12.75">
      <c r="A84" s="235">
        <f>IF(ISNUMBER('Data Entry'!$Q63),'Data Entry'!A63,"")</f>
      </c>
      <c r="B84" s="234">
        <f>IF(ISNUMBER('Data Entry'!$Q63),IF($B$3='Data Entry'!$B$8,'Data Entry'!L63,IF(AND($B$3=0,'Data Entry'!$B$8=1),'Data Entry'!L63/'Data Entry'!$B$9,IF(AND($B$3=1,'Data Entry'!$B$8=0),'Data Entry'!L63*'Data Entry'!$B$9,"Conversion Error"))),"")</f>
      </c>
      <c r="C84" s="234">
        <f>IF(ISNUMBER('Data Entry'!$Q63),IF(ISNUMBER('Data Entry'!$M63),'Data Entry'!$M63,IF(ISNUMBER('Data Entry'!$N63),'Data Entry'!$N63,"Error")),"")</f>
      </c>
      <c r="D84" s="236">
        <f>IF('Data Entry'!$Q63="","",IF(ISERROR($B84*COS(((360-$B$6)-$C84+90)*PI()/180)),"Error",$B84*COS(((360-$B$6)-$C84+90)*PI()/180)))</f>
      </c>
      <c r="E84" s="237">
        <f>IF('Data Entry'!$Q63="","",IF(ISERROR($B84*SIN(((360-$B$6)-$C84+90)*PI()/180)),"Error",$B84*SIN(((360-$B$6)-$C84+90)*PI()/180)))</f>
      </c>
      <c r="F84" s="234">
        <f t="shared" si="2"/>
      </c>
      <c r="G84" s="234">
        <f t="shared" si="2"/>
      </c>
      <c r="H84" s="83"/>
      <c r="I84" s="245">
        <f t="shared" si="3"/>
      </c>
      <c r="J84" s="245">
        <f t="shared" si="9"/>
      </c>
      <c r="K84" s="188">
        <f t="shared" si="4"/>
      </c>
      <c r="L84" s="187">
        <f t="shared" si="5"/>
      </c>
      <c r="M84" s="245">
        <f t="shared" si="6"/>
      </c>
      <c r="N84" s="245">
        <f t="shared" si="7"/>
      </c>
      <c r="O84" s="83"/>
      <c r="P84" s="253">
        <f aca="true" t="shared" si="10" ref="P84:P137">IF(ISERROR(M84*N85),"",(M84*N85))</f>
      </c>
      <c r="Q84" s="254">
        <f aca="true" t="shared" si="11" ref="Q84:Q137">IF(ISERROR(N84*M85),"",(N84*M85))</f>
      </c>
      <c r="R84"/>
      <c r="S84" s="1"/>
      <c r="T84"/>
      <c r="U84" s="26"/>
      <c r="W84"/>
      <c r="X84"/>
      <c r="Z84"/>
    </row>
    <row r="85" spans="1:26" ht="12.75">
      <c r="A85" s="235">
        <f>IF(ISNUMBER('Data Entry'!$Q64),'Data Entry'!A64,"")</f>
      </c>
      <c r="B85" s="234">
        <f>IF(ISNUMBER('Data Entry'!$Q64),IF($B$3='Data Entry'!$B$8,'Data Entry'!L64,IF(AND($B$3=0,'Data Entry'!$B$8=1),'Data Entry'!L64/'Data Entry'!$B$9,IF(AND($B$3=1,'Data Entry'!$B$8=0),'Data Entry'!L64*'Data Entry'!$B$9,"Conversion Error"))),"")</f>
      </c>
      <c r="C85" s="234">
        <f>IF(ISNUMBER('Data Entry'!$Q64),IF(ISNUMBER('Data Entry'!$M64),'Data Entry'!$M64,IF(ISNUMBER('Data Entry'!$N64),'Data Entry'!$N64,"Error")),"")</f>
      </c>
      <c r="D85" s="236">
        <f>IF('Data Entry'!$Q64="","",IF(ISERROR($B85*COS(((360-$B$6)-$C85+90)*PI()/180)),"Error",$B85*COS(((360-$B$6)-$C85+90)*PI()/180)))</f>
      </c>
      <c r="E85" s="237">
        <f>IF('Data Entry'!$Q64="","",IF(ISERROR($B85*SIN(((360-$B$6)-$C85+90)*PI()/180)),"Error",$B85*SIN(((360-$B$6)-$C85+90)*PI()/180)))</f>
      </c>
      <c r="F85" s="234">
        <f t="shared" si="2"/>
      </c>
      <c r="G85" s="234">
        <f t="shared" si="2"/>
      </c>
      <c r="H85" s="83"/>
      <c r="I85" s="245">
        <f aca="true" t="shared" si="12" ref="I85:I137">IF(ISERROR(SQRT(K85^2+L85^2)),"",(SQRT(K85^2+L85^2)))</f>
      </c>
      <c r="J85" s="245">
        <f t="shared" si="9"/>
      </c>
      <c r="K85" s="188">
        <f t="shared" si="4"/>
      </c>
      <c r="L85" s="187">
        <f t="shared" si="5"/>
      </c>
      <c r="M85" s="245">
        <f t="shared" si="6"/>
      </c>
      <c r="N85" s="245">
        <f t="shared" si="7"/>
      </c>
      <c r="O85" s="83"/>
      <c r="P85" s="253">
        <f t="shared" si="10"/>
      </c>
      <c r="Q85" s="254">
        <f t="shared" si="11"/>
      </c>
      <c r="R85"/>
      <c r="S85" s="1"/>
      <c r="T85"/>
      <c r="W85"/>
      <c r="X85"/>
      <c r="Z85"/>
    </row>
    <row r="86" spans="1:26" ht="12.75">
      <c r="A86" s="235">
        <f>IF(ISNUMBER('Data Entry'!$Q65),'Data Entry'!A65,"")</f>
      </c>
      <c r="B86" s="234">
        <f>IF(ISNUMBER('Data Entry'!$Q65),IF($B$3='Data Entry'!$B$8,'Data Entry'!L65,IF(AND($B$3=0,'Data Entry'!$B$8=1),'Data Entry'!L65/'Data Entry'!$B$9,IF(AND($B$3=1,'Data Entry'!$B$8=0),'Data Entry'!L65*'Data Entry'!$B$9,"Conversion Error"))),"")</f>
      </c>
      <c r="C86" s="234">
        <f>IF(ISNUMBER('Data Entry'!$Q65),IF(ISNUMBER('Data Entry'!$M65),'Data Entry'!$M65,IF(ISNUMBER('Data Entry'!$N65),'Data Entry'!$N65,"Error")),"")</f>
      </c>
      <c r="D86" s="236">
        <f>IF('Data Entry'!$Q65="","",IF(ISERROR($B86*COS(((360-$B$6)-$C86+90)*PI()/180)),"Error",$B86*COS(((360-$B$6)-$C86+90)*PI()/180)))</f>
      </c>
      <c r="E86" s="237">
        <f>IF('Data Entry'!$Q65="","",IF(ISERROR($B86*SIN(((360-$B$6)-$C86+90)*PI()/180)),"Error",$B86*SIN(((360-$B$6)-$C86+90)*PI()/180)))</f>
      </c>
      <c r="F86" s="234">
        <f t="shared" si="2"/>
      </c>
      <c r="G86" s="234">
        <f t="shared" si="2"/>
      </c>
      <c r="H86" s="83"/>
      <c r="I86" s="245">
        <f t="shared" si="12"/>
      </c>
      <c r="J86" s="245">
        <f t="shared" si="9"/>
      </c>
      <c r="K86" s="188">
        <f t="shared" si="4"/>
      </c>
      <c r="L86" s="187">
        <f t="shared" si="5"/>
      </c>
      <c r="M86" s="245">
        <f t="shared" si="6"/>
      </c>
      <c r="N86" s="245">
        <f t="shared" si="7"/>
      </c>
      <c r="O86" s="83"/>
      <c r="P86" s="253">
        <f t="shared" si="10"/>
      </c>
      <c r="Q86" s="254">
        <f t="shared" si="11"/>
      </c>
      <c r="R86"/>
      <c r="S86" s="1"/>
      <c r="T86"/>
      <c r="W86"/>
      <c r="X86"/>
      <c r="Z86"/>
    </row>
    <row r="87" spans="1:26" ht="12.75">
      <c r="A87" s="235">
        <f>IF(ISNUMBER('Data Entry'!$Q66),'Data Entry'!A66,"")</f>
      </c>
      <c r="B87" s="234">
        <f>IF(ISNUMBER('Data Entry'!$Q66),IF($B$3='Data Entry'!$B$8,'Data Entry'!L66,IF(AND($B$3=0,'Data Entry'!$B$8=1),'Data Entry'!L66/'Data Entry'!$B$9,IF(AND($B$3=1,'Data Entry'!$B$8=0),'Data Entry'!L66*'Data Entry'!$B$9,"Conversion Error"))),"")</f>
      </c>
      <c r="C87" s="234">
        <f>IF(ISNUMBER('Data Entry'!$Q66),IF(ISNUMBER('Data Entry'!$M66),'Data Entry'!$M66,IF(ISNUMBER('Data Entry'!$N66),'Data Entry'!$N66,"Error")),"")</f>
      </c>
      <c r="D87" s="236">
        <f>IF('Data Entry'!$Q66="","",IF(ISERROR($B87*COS(((360-$B$6)-$C87+90)*PI()/180)),"Error",$B87*COS(((360-$B$6)-$C87+90)*PI()/180)))</f>
      </c>
      <c r="E87" s="237">
        <f>IF('Data Entry'!$Q66="","",IF(ISERROR($B87*SIN(((360-$B$6)-$C87+90)*PI()/180)),"Error",$B87*SIN(((360-$B$6)-$C87+90)*PI()/180)))</f>
      </c>
      <c r="F87" s="234">
        <f t="shared" si="2"/>
      </c>
      <c r="G87" s="234">
        <f t="shared" si="2"/>
      </c>
      <c r="H87" s="83"/>
      <c r="I87" s="245">
        <f t="shared" si="12"/>
      </c>
      <c r="J87" s="245">
        <f t="shared" si="9"/>
      </c>
      <c r="K87" s="188">
        <f t="shared" si="4"/>
      </c>
      <c r="L87" s="187">
        <f t="shared" si="5"/>
      </c>
      <c r="M87" s="245">
        <f t="shared" si="6"/>
      </c>
      <c r="N87" s="245">
        <f t="shared" si="7"/>
      </c>
      <c r="O87" s="83"/>
      <c r="P87" s="253">
        <f t="shared" si="10"/>
      </c>
      <c r="Q87" s="254">
        <f t="shared" si="11"/>
      </c>
      <c r="R87"/>
      <c r="S87" s="1"/>
      <c r="T87"/>
      <c r="W87"/>
      <c r="X87"/>
      <c r="Z87"/>
    </row>
    <row r="88" spans="1:26" ht="12.75">
      <c r="A88" s="235">
        <f>IF(ISNUMBER('Data Entry'!$Q67),'Data Entry'!A67,"")</f>
      </c>
      <c r="B88" s="234">
        <f>IF(ISNUMBER('Data Entry'!$Q67),IF($B$3='Data Entry'!$B$8,'Data Entry'!L67,IF(AND($B$3=0,'Data Entry'!$B$8=1),'Data Entry'!L67/'Data Entry'!$B$9,IF(AND($B$3=1,'Data Entry'!$B$8=0),'Data Entry'!L67*'Data Entry'!$B$9,"Conversion Error"))),"")</f>
      </c>
      <c r="C88" s="234">
        <f>IF(ISNUMBER('Data Entry'!$Q67),IF(ISNUMBER('Data Entry'!$M67),'Data Entry'!$M67,IF(ISNUMBER('Data Entry'!$N67),'Data Entry'!$N67,"Error")),"")</f>
      </c>
      <c r="D88" s="236">
        <f>IF('Data Entry'!$Q67="","",IF(ISERROR($B88*COS(((360-$B$6)-$C88+90)*PI()/180)),"Error",$B88*COS(((360-$B$6)-$C88+90)*PI()/180)))</f>
      </c>
      <c r="E88" s="237">
        <f>IF('Data Entry'!$Q67="","",IF(ISERROR($B88*SIN(((360-$B$6)-$C88+90)*PI()/180)),"Error",$B88*SIN(((360-$B$6)-$C88+90)*PI()/180)))</f>
      </c>
      <c r="F88" s="234">
        <f t="shared" si="2"/>
      </c>
      <c r="G88" s="234">
        <f t="shared" si="2"/>
      </c>
      <c r="H88" s="83"/>
      <c r="I88" s="245">
        <f t="shared" si="12"/>
      </c>
      <c r="J88" s="245">
        <f t="shared" si="9"/>
      </c>
      <c r="K88" s="188">
        <f t="shared" si="4"/>
      </c>
      <c r="L88" s="187">
        <f t="shared" si="5"/>
      </c>
      <c r="M88" s="245">
        <f t="shared" si="6"/>
      </c>
      <c r="N88" s="245">
        <f t="shared" si="7"/>
      </c>
      <c r="O88" s="83"/>
      <c r="P88" s="253">
        <f t="shared" si="10"/>
      </c>
      <c r="Q88" s="254">
        <f t="shared" si="11"/>
      </c>
      <c r="R88"/>
      <c r="S88" s="1"/>
      <c r="T88"/>
      <c r="W88"/>
      <c r="X88"/>
      <c r="Z88"/>
    </row>
    <row r="89" spans="1:26" ht="12.75">
      <c r="A89" s="235">
        <f>IF(ISNUMBER('Data Entry'!$Q68),'Data Entry'!A68,"")</f>
      </c>
      <c r="B89" s="234">
        <f>IF(ISNUMBER('Data Entry'!$Q68),IF($B$3='Data Entry'!$B$8,'Data Entry'!L68,IF(AND($B$3=0,'Data Entry'!$B$8=1),'Data Entry'!L68/'Data Entry'!$B$9,IF(AND($B$3=1,'Data Entry'!$B$8=0),'Data Entry'!L68*'Data Entry'!$B$9,"Conversion Error"))),"")</f>
      </c>
      <c r="C89" s="234">
        <f>IF(ISNUMBER('Data Entry'!$Q68),IF(ISNUMBER('Data Entry'!$M68),'Data Entry'!$M68,IF(ISNUMBER('Data Entry'!$N68),'Data Entry'!$N68,"Error")),"")</f>
      </c>
      <c r="D89" s="236">
        <f>IF('Data Entry'!$Q68="","",IF(ISERROR($B89*COS(((360-$B$6)-$C89+90)*PI()/180)),"Error",$B89*COS(((360-$B$6)-$C89+90)*PI()/180)))</f>
      </c>
      <c r="E89" s="237">
        <f>IF('Data Entry'!$Q68="","",IF(ISERROR($B89*SIN(((360-$B$6)-$C89+90)*PI()/180)),"Error",$B89*SIN(((360-$B$6)-$C89+90)*PI()/180)))</f>
      </c>
      <c r="F89" s="234">
        <f t="shared" si="2"/>
      </c>
      <c r="G89" s="234">
        <f t="shared" si="2"/>
      </c>
      <c r="H89" s="83"/>
      <c r="I89" s="245">
        <f t="shared" si="12"/>
      </c>
      <c r="J89" s="245">
        <f t="shared" si="9"/>
      </c>
      <c r="K89" s="188">
        <f t="shared" si="4"/>
      </c>
      <c r="L89" s="187">
        <f t="shared" si="5"/>
      </c>
      <c r="M89" s="245">
        <f t="shared" si="6"/>
      </c>
      <c r="N89" s="245">
        <f t="shared" si="7"/>
      </c>
      <c r="O89" s="83"/>
      <c r="P89" s="253">
        <f t="shared" si="10"/>
      </c>
      <c r="Q89" s="254">
        <f t="shared" si="11"/>
      </c>
      <c r="R89"/>
      <c r="S89" s="1"/>
      <c r="T89"/>
      <c r="W89"/>
      <c r="X89"/>
      <c r="Z89"/>
    </row>
    <row r="90" spans="1:26" ht="12.75">
      <c r="A90" s="235">
        <f>IF(ISNUMBER('Data Entry'!$Q69),'Data Entry'!A69,"")</f>
      </c>
      <c r="B90" s="234">
        <f>IF(ISNUMBER('Data Entry'!$Q69),IF($B$3='Data Entry'!$B$8,'Data Entry'!L69,IF(AND($B$3=0,'Data Entry'!$B$8=1),'Data Entry'!L69/'Data Entry'!$B$9,IF(AND($B$3=1,'Data Entry'!$B$8=0),'Data Entry'!L69*'Data Entry'!$B$9,"Conversion Error"))),"")</f>
      </c>
      <c r="C90" s="234">
        <f>IF(ISNUMBER('Data Entry'!$Q69),IF(ISNUMBER('Data Entry'!$M69),'Data Entry'!$M69,IF(ISNUMBER('Data Entry'!$N69),'Data Entry'!$N69,"Error")),"")</f>
      </c>
      <c r="D90" s="236">
        <f>IF('Data Entry'!$Q69="","",IF(ISERROR($B90*COS(((360-$B$6)-$C90+90)*PI()/180)),"Error",$B90*COS(((360-$B$6)-$C90+90)*PI()/180)))</f>
      </c>
      <c r="E90" s="237">
        <f>IF('Data Entry'!$Q69="","",IF(ISERROR($B90*SIN(((360-$B$6)-$C90+90)*PI()/180)),"Error",$B90*SIN(((360-$B$6)-$C90+90)*PI()/180)))</f>
      </c>
      <c r="F90" s="234">
        <f t="shared" si="2"/>
      </c>
      <c r="G90" s="234">
        <f t="shared" si="2"/>
      </c>
      <c r="H90" s="83"/>
      <c r="I90" s="245">
        <f t="shared" si="12"/>
      </c>
      <c r="J90" s="245">
        <f t="shared" si="9"/>
      </c>
      <c r="K90" s="188">
        <f t="shared" si="4"/>
      </c>
      <c r="L90" s="187">
        <f t="shared" si="5"/>
      </c>
      <c r="M90" s="245">
        <f t="shared" si="6"/>
      </c>
      <c r="N90" s="245">
        <f t="shared" si="7"/>
      </c>
      <c r="O90" s="83"/>
      <c r="P90" s="253">
        <f t="shared" si="10"/>
      </c>
      <c r="Q90" s="254">
        <f t="shared" si="11"/>
      </c>
      <c r="R90"/>
      <c r="S90" s="1"/>
      <c r="T90"/>
      <c r="W90"/>
      <c r="X90"/>
      <c r="Z90"/>
    </row>
    <row r="91" spans="1:26" ht="12.75">
      <c r="A91" s="235">
        <f>IF(ISNUMBER('Data Entry'!$Q70),'Data Entry'!A70,"")</f>
      </c>
      <c r="B91" s="234">
        <f>IF(ISNUMBER('Data Entry'!$Q70),IF($B$3='Data Entry'!$B$8,'Data Entry'!L70,IF(AND($B$3=0,'Data Entry'!$B$8=1),'Data Entry'!L70/'Data Entry'!$B$9,IF(AND($B$3=1,'Data Entry'!$B$8=0),'Data Entry'!L70*'Data Entry'!$B$9,"Conversion Error"))),"")</f>
      </c>
      <c r="C91" s="234">
        <f>IF(ISNUMBER('Data Entry'!$Q70),IF(ISNUMBER('Data Entry'!$M70),'Data Entry'!$M70,IF(ISNUMBER('Data Entry'!$N70),'Data Entry'!$N70,"Error")),"")</f>
      </c>
      <c r="D91" s="236">
        <f>IF('Data Entry'!$Q70="","",IF(ISERROR($B91*COS(((360-$B$6)-$C91+90)*PI()/180)),"Error",$B91*COS(((360-$B$6)-$C91+90)*PI()/180)))</f>
      </c>
      <c r="E91" s="237">
        <f>IF('Data Entry'!$Q70="","",IF(ISERROR($B91*SIN(((360-$B$6)-$C91+90)*PI()/180)),"Error",$B91*SIN(((360-$B$6)-$C91+90)*PI()/180)))</f>
      </c>
      <c r="F91" s="234">
        <f t="shared" si="2"/>
      </c>
      <c r="G91" s="234">
        <f t="shared" si="2"/>
      </c>
      <c r="H91" s="83"/>
      <c r="I91" s="245">
        <f t="shared" si="12"/>
      </c>
      <c r="J91" s="245">
        <f t="shared" si="9"/>
      </c>
      <c r="K91" s="188">
        <f t="shared" si="4"/>
      </c>
      <c r="L91" s="187">
        <f t="shared" si="5"/>
      </c>
      <c r="M91" s="245">
        <f t="shared" si="6"/>
      </c>
      <c r="N91" s="245">
        <f t="shared" si="7"/>
      </c>
      <c r="O91" s="83"/>
      <c r="P91" s="253">
        <f t="shared" si="10"/>
      </c>
      <c r="Q91" s="254">
        <f t="shared" si="11"/>
      </c>
      <c r="R91"/>
      <c r="S91" s="1"/>
      <c r="T91"/>
      <c r="W91"/>
      <c r="X91"/>
      <c r="Z91"/>
    </row>
    <row r="92" spans="1:26" ht="12.75">
      <c r="A92" s="235">
        <f>IF(ISNUMBER('Data Entry'!$Q71),'Data Entry'!A71,"")</f>
      </c>
      <c r="B92" s="234">
        <f>IF(ISNUMBER('Data Entry'!$Q71),IF($B$3='Data Entry'!$B$8,'Data Entry'!L71,IF(AND($B$3=0,'Data Entry'!$B$8=1),'Data Entry'!L71/'Data Entry'!$B$9,IF(AND($B$3=1,'Data Entry'!$B$8=0),'Data Entry'!L71*'Data Entry'!$B$9,"Conversion Error"))),"")</f>
      </c>
      <c r="C92" s="234">
        <f>IF(ISNUMBER('Data Entry'!$Q71),IF(ISNUMBER('Data Entry'!$M71),'Data Entry'!$M71,IF(ISNUMBER('Data Entry'!$N71),'Data Entry'!$N71,"Error")),"")</f>
      </c>
      <c r="D92" s="236">
        <f>IF('Data Entry'!$Q71="","",IF(ISERROR($B92*COS(((360-$B$6)-$C92+90)*PI()/180)),"Error",$B92*COS(((360-$B$6)-$C92+90)*PI()/180)))</f>
      </c>
      <c r="E92" s="237">
        <f>IF('Data Entry'!$Q71="","",IF(ISERROR($B92*SIN(((360-$B$6)-$C92+90)*PI()/180)),"Error",$B92*SIN(((360-$B$6)-$C92+90)*PI()/180)))</f>
      </c>
      <c r="F92" s="234">
        <f t="shared" si="2"/>
      </c>
      <c r="G92" s="234">
        <f t="shared" si="2"/>
      </c>
      <c r="H92" s="83"/>
      <c r="I92" s="245">
        <f t="shared" si="12"/>
      </c>
      <c r="J92" s="245">
        <f t="shared" si="9"/>
      </c>
      <c r="K92" s="188">
        <f t="shared" si="4"/>
      </c>
      <c r="L92" s="187">
        <f t="shared" si="5"/>
      </c>
      <c r="M92" s="245">
        <f t="shared" si="6"/>
      </c>
      <c r="N92" s="245">
        <f t="shared" si="7"/>
      </c>
      <c r="O92" s="83"/>
      <c r="P92" s="253">
        <f t="shared" si="10"/>
      </c>
      <c r="Q92" s="254">
        <f t="shared" si="11"/>
      </c>
      <c r="R92"/>
      <c r="S92" s="1"/>
      <c r="T92"/>
      <c r="W92"/>
      <c r="X92"/>
      <c r="Z92"/>
    </row>
    <row r="93" spans="1:26" ht="12.75">
      <c r="A93" s="235">
        <f>IF(ISNUMBER('Data Entry'!$Q72),'Data Entry'!A72,"")</f>
      </c>
      <c r="B93" s="234">
        <f>IF(ISNUMBER('Data Entry'!$Q72),IF($B$3='Data Entry'!$B$8,'Data Entry'!L72,IF(AND($B$3=0,'Data Entry'!$B$8=1),'Data Entry'!L72/'Data Entry'!$B$9,IF(AND($B$3=1,'Data Entry'!$B$8=0),'Data Entry'!L72*'Data Entry'!$B$9,"Conversion Error"))),"")</f>
      </c>
      <c r="C93" s="234">
        <f>IF(ISNUMBER('Data Entry'!$Q72),IF(ISNUMBER('Data Entry'!$M72),'Data Entry'!$M72,IF(ISNUMBER('Data Entry'!$N72),'Data Entry'!$N72,"Error")),"")</f>
      </c>
      <c r="D93" s="236">
        <f>IF('Data Entry'!$Q72="","",IF(ISERROR($B93*COS(((360-$B$6)-$C93+90)*PI()/180)),"Error",$B93*COS(((360-$B$6)-$C93+90)*PI()/180)))</f>
      </c>
      <c r="E93" s="237">
        <f>IF('Data Entry'!$Q72="","",IF(ISERROR($B93*SIN(((360-$B$6)-$C93+90)*PI()/180)),"Error",$B93*SIN(((360-$B$6)-$C93+90)*PI()/180)))</f>
      </c>
      <c r="F93" s="234">
        <f t="shared" si="2"/>
      </c>
      <c r="G93" s="234">
        <f t="shared" si="2"/>
      </c>
      <c r="H93" s="83"/>
      <c r="I93" s="245">
        <f t="shared" si="12"/>
      </c>
      <c r="J93" s="245">
        <f t="shared" si="9"/>
      </c>
      <c r="K93" s="188">
        <f t="shared" si="4"/>
      </c>
      <c r="L93" s="187">
        <f t="shared" si="5"/>
      </c>
      <c r="M93" s="245">
        <f t="shared" si="6"/>
      </c>
      <c r="N93" s="245">
        <f t="shared" si="7"/>
      </c>
      <c r="O93" s="83"/>
      <c r="P93" s="253">
        <f t="shared" si="10"/>
      </c>
      <c r="Q93" s="254">
        <f t="shared" si="11"/>
      </c>
      <c r="R93"/>
      <c r="S93" s="1"/>
      <c r="T93"/>
      <c r="W93"/>
      <c r="X93"/>
      <c r="Z93"/>
    </row>
    <row r="94" spans="1:26" ht="12.75">
      <c r="A94" s="235">
        <f>IF(ISNUMBER('Data Entry'!$Q73),'Data Entry'!A73,"")</f>
      </c>
      <c r="B94" s="234">
        <f>IF(ISNUMBER('Data Entry'!$Q73),IF($B$3='Data Entry'!$B$8,'Data Entry'!L73,IF(AND($B$3=0,'Data Entry'!$B$8=1),'Data Entry'!L73/'Data Entry'!$B$9,IF(AND($B$3=1,'Data Entry'!$B$8=0),'Data Entry'!L73*'Data Entry'!$B$9,"Conversion Error"))),"")</f>
      </c>
      <c r="C94" s="234">
        <f>IF(ISNUMBER('Data Entry'!$Q73),IF(ISNUMBER('Data Entry'!$M73),'Data Entry'!$M73,IF(ISNUMBER('Data Entry'!$N73),'Data Entry'!$N73,"Error")),"")</f>
      </c>
      <c r="D94" s="236">
        <f>IF('Data Entry'!$Q73="","",IF(ISERROR($B94*COS(((360-$B$6)-$C94+90)*PI()/180)),"Error",$B94*COS(((360-$B$6)-$C94+90)*PI()/180)))</f>
      </c>
      <c r="E94" s="237">
        <f>IF('Data Entry'!$Q73="","",IF(ISERROR($B94*SIN(((360-$B$6)-$C94+90)*PI()/180)),"Error",$B94*SIN(((360-$B$6)-$C94+90)*PI()/180)))</f>
      </c>
      <c r="F94" s="234">
        <f t="shared" si="2"/>
      </c>
      <c r="G94" s="234">
        <f t="shared" si="2"/>
      </c>
      <c r="H94" s="83"/>
      <c r="I94" s="245">
        <f t="shared" si="12"/>
      </c>
      <c r="J94" s="245">
        <f t="shared" si="9"/>
      </c>
      <c r="K94" s="188">
        <f t="shared" si="4"/>
      </c>
      <c r="L94" s="187">
        <f t="shared" si="5"/>
      </c>
      <c r="M94" s="245">
        <f t="shared" si="6"/>
      </c>
      <c r="N94" s="245">
        <f t="shared" si="7"/>
      </c>
      <c r="O94" s="83"/>
      <c r="P94" s="253">
        <f t="shared" si="10"/>
      </c>
      <c r="Q94" s="254">
        <f t="shared" si="11"/>
      </c>
      <c r="R94"/>
      <c r="S94" s="1"/>
      <c r="T94"/>
      <c r="W94"/>
      <c r="X94"/>
      <c r="Z94"/>
    </row>
    <row r="95" spans="1:26" ht="12.75">
      <c r="A95" s="235">
        <f>IF(ISNUMBER('Data Entry'!$Q74),'Data Entry'!A74,"")</f>
      </c>
      <c r="B95" s="234">
        <f>IF(ISNUMBER('Data Entry'!$Q74),IF($B$3='Data Entry'!$B$8,'Data Entry'!L74,IF(AND($B$3=0,'Data Entry'!$B$8=1),'Data Entry'!L74/'Data Entry'!$B$9,IF(AND($B$3=1,'Data Entry'!$B$8=0),'Data Entry'!L74*'Data Entry'!$B$9,"Conversion Error"))),"")</f>
      </c>
      <c r="C95" s="234">
        <f>IF(ISNUMBER('Data Entry'!$Q74),IF(ISNUMBER('Data Entry'!$M74),'Data Entry'!$M74,IF(ISNUMBER('Data Entry'!$N74),'Data Entry'!$N74,"Error")),"")</f>
      </c>
      <c r="D95" s="236">
        <f>IF('Data Entry'!$Q74="","",IF(ISERROR($B95*COS(((360-$B$6)-$C95+90)*PI()/180)),"Error",$B95*COS(((360-$B$6)-$C95+90)*PI()/180)))</f>
      </c>
      <c r="E95" s="237">
        <f>IF('Data Entry'!$Q74="","",IF(ISERROR($B95*SIN(((360-$B$6)-$C95+90)*PI()/180)),"Error",$B95*SIN(((360-$B$6)-$C95+90)*PI()/180)))</f>
      </c>
      <c r="F95" s="234">
        <f t="shared" si="2"/>
      </c>
      <c r="G95" s="234">
        <f t="shared" si="2"/>
      </c>
      <c r="H95" s="83"/>
      <c r="I95" s="245">
        <f t="shared" si="12"/>
      </c>
      <c r="J95" s="245">
        <f t="shared" si="9"/>
      </c>
      <c r="K95" s="188">
        <f t="shared" si="4"/>
      </c>
      <c r="L95" s="187">
        <f t="shared" si="5"/>
      </c>
      <c r="M95" s="245">
        <f t="shared" si="6"/>
      </c>
      <c r="N95" s="245">
        <f t="shared" si="7"/>
      </c>
      <c r="O95" s="83"/>
      <c r="P95" s="253">
        <f t="shared" si="10"/>
      </c>
      <c r="Q95" s="254">
        <f t="shared" si="11"/>
      </c>
      <c r="R95"/>
      <c r="S95" s="1"/>
      <c r="T95"/>
      <c r="W95"/>
      <c r="X95"/>
      <c r="Z95"/>
    </row>
    <row r="96" spans="1:26" ht="12.75">
      <c r="A96" s="235">
        <f>IF(ISNUMBER('Data Entry'!$Q75),'Data Entry'!A75,"")</f>
      </c>
      <c r="B96" s="234">
        <f>IF(ISNUMBER('Data Entry'!$Q75),IF($B$3='Data Entry'!$B$8,'Data Entry'!L75,IF(AND($B$3=0,'Data Entry'!$B$8=1),'Data Entry'!L75/'Data Entry'!$B$9,IF(AND($B$3=1,'Data Entry'!$B$8=0),'Data Entry'!L75*'Data Entry'!$B$9,"Conversion Error"))),"")</f>
      </c>
      <c r="C96" s="234">
        <f>IF(ISNUMBER('Data Entry'!$Q75),IF(ISNUMBER('Data Entry'!$M75),'Data Entry'!$M75,IF(ISNUMBER('Data Entry'!$N75),'Data Entry'!$N75,"Error")),"")</f>
      </c>
      <c r="D96" s="236">
        <f>IF('Data Entry'!$Q75="","",IF(ISERROR($B96*COS(((360-$B$6)-$C96+90)*PI()/180)),"Error",$B96*COS(((360-$B$6)-$C96+90)*PI()/180)))</f>
      </c>
      <c r="E96" s="237">
        <f>IF('Data Entry'!$Q75="","",IF(ISERROR($B96*SIN(((360-$B$6)-$C96+90)*PI()/180)),"Error",$B96*SIN(((360-$B$6)-$C96+90)*PI()/180)))</f>
      </c>
      <c r="F96" s="234">
        <f t="shared" si="2"/>
      </c>
      <c r="G96" s="234">
        <f t="shared" si="2"/>
      </c>
      <c r="H96" s="83"/>
      <c r="I96" s="245">
        <f t="shared" si="12"/>
      </c>
      <c r="J96" s="245">
        <f t="shared" si="9"/>
      </c>
      <c r="K96" s="188">
        <f t="shared" si="4"/>
      </c>
      <c r="L96" s="187">
        <f t="shared" si="5"/>
      </c>
      <c r="M96" s="245">
        <f t="shared" si="6"/>
      </c>
      <c r="N96" s="245">
        <f t="shared" si="7"/>
      </c>
      <c r="O96" s="83"/>
      <c r="P96" s="253">
        <f t="shared" si="10"/>
      </c>
      <c r="Q96" s="254">
        <f t="shared" si="11"/>
      </c>
      <c r="R96"/>
      <c r="S96" s="1"/>
      <c r="T96"/>
      <c r="W96"/>
      <c r="X96"/>
      <c r="Z96"/>
    </row>
    <row r="97" spans="1:26" ht="12.75">
      <c r="A97" s="235">
        <f>IF(ISNUMBER('Data Entry'!$Q76),'Data Entry'!A76,"")</f>
      </c>
      <c r="B97" s="234">
        <f>IF(ISNUMBER('Data Entry'!$Q76),IF($B$3='Data Entry'!$B$8,'Data Entry'!L76,IF(AND($B$3=0,'Data Entry'!$B$8=1),'Data Entry'!L76/'Data Entry'!$B$9,IF(AND($B$3=1,'Data Entry'!$B$8=0),'Data Entry'!L76*'Data Entry'!$B$9,"Conversion Error"))),"")</f>
      </c>
      <c r="C97" s="234">
        <f>IF(ISNUMBER('Data Entry'!$Q76),IF(ISNUMBER('Data Entry'!$M76),'Data Entry'!$M76,IF(ISNUMBER('Data Entry'!$N76),'Data Entry'!$N76,"Error")),"")</f>
      </c>
      <c r="D97" s="236">
        <f>IF('Data Entry'!$Q76="","",IF(ISERROR($B97*COS(((360-$B$6)-$C97+90)*PI()/180)),"Error",$B97*COS(((360-$B$6)-$C97+90)*PI()/180)))</f>
      </c>
      <c r="E97" s="237">
        <f>IF('Data Entry'!$Q76="","",IF(ISERROR($B97*SIN(((360-$B$6)-$C97+90)*PI()/180)),"Error",$B97*SIN(((360-$B$6)-$C97+90)*PI()/180)))</f>
      </c>
      <c r="F97" s="234">
        <f t="shared" si="2"/>
      </c>
      <c r="G97" s="234">
        <f t="shared" si="2"/>
      </c>
      <c r="H97" s="83"/>
      <c r="I97" s="245">
        <f t="shared" si="12"/>
      </c>
      <c r="J97" s="245">
        <f t="shared" si="9"/>
      </c>
      <c r="K97" s="188">
        <f t="shared" si="4"/>
      </c>
      <c r="L97" s="187">
        <f t="shared" si="5"/>
      </c>
      <c r="M97" s="245">
        <f t="shared" si="6"/>
      </c>
      <c r="N97" s="245">
        <f t="shared" si="7"/>
      </c>
      <c r="O97" s="83"/>
      <c r="P97" s="253">
        <f t="shared" si="10"/>
      </c>
      <c r="Q97" s="254">
        <f t="shared" si="11"/>
      </c>
      <c r="R97"/>
      <c r="S97" s="1"/>
      <c r="T97"/>
      <c r="W97"/>
      <c r="X97"/>
      <c r="Z97"/>
    </row>
    <row r="98" spans="1:26" ht="12.75">
      <c r="A98" s="235">
        <f>IF(ISNUMBER('Data Entry'!$Q77),'Data Entry'!A77,"")</f>
      </c>
      <c r="B98" s="234">
        <f>IF(ISNUMBER('Data Entry'!$Q77),IF($B$3='Data Entry'!$B$8,'Data Entry'!L77,IF(AND($B$3=0,'Data Entry'!$B$8=1),'Data Entry'!L77/'Data Entry'!$B$9,IF(AND($B$3=1,'Data Entry'!$B$8=0),'Data Entry'!L77*'Data Entry'!$B$9,"Conversion Error"))),"")</f>
      </c>
      <c r="C98" s="234">
        <f>IF(ISNUMBER('Data Entry'!$Q77),IF(ISNUMBER('Data Entry'!$M77),'Data Entry'!$M77,IF(ISNUMBER('Data Entry'!$N77),'Data Entry'!$N77,"Error")),"")</f>
      </c>
      <c r="D98" s="236">
        <f>IF('Data Entry'!$Q77="","",IF(ISERROR($B98*COS(((360-$B$6)-$C98+90)*PI()/180)),"Error",$B98*COS(((360-$B$6)-$C98+90)*PI()/180)))</f>
      </c>
      <c r="E98" s="237">
        <f>IF('Data Entry'!$Q77="","",IF(ISERROR($B98*SIN(((360-$B$6)-$C98+90)*PI()/180)),"Error",$B98*SIN(((360-$B$6)-$C98+90)*PI()/180)))</f>
      </c>
      <c r="F98" s="234">
        <f t="shared" si="2"/>
      </c>
      <c r="G98" s="234">
        <f t="shared" si="2"/>
      </c>
      <c r="H98" s="83"/>
      <c r="I98" s="245">
        <f t="shared" si="12"/>
      </c>
      <c r="J98" s="245">
        <f t="shared" si="9"/>
      </c>
      <c r="K98" s="188">
        <f t="shared" si="4"/>
      </c>
      <c r="L98" s="187">
        <f t="shared" si="5"/>
      </c>
      <c r="M98" s="245">
        <f t="shared" si="6"/>
      </c>
      <c r="N98" s="245">
        <f t="shared" si="7"/>
      </c>
      <c r="O98" s="83"/>
      <c r="P98" s="253">
        <f t="shared" si="10"/>
      </c>
      <c r="Q98" s="254">
        <f t="shared" si="11"/>
      </c>
      <c r="R98"/>
      <c r="S98" s="1"/>
      <c r="T98"/>
      <c r="W98"/>
      <c r="X98"/>
      <c r="Z98"/>
    </row>
    <row r="99" spans="1:26" ht="12.75">
      <c r="A99" s="235">
        <f>IF(ISNUMBER('Data Entry'!$Q78),'Data Entry'!A78,"")</f>
      </c>
      <c r="B99" s="234">
        <f>IF(ISNUMBER('Data Entry'!$Q78),IF($B$3='Data Entry'!$B$8,'Data Entry'!L78,IF(AND($B$3=0,'Data Entry'!$B$8=1),'Data Entry'!L78/'Data Entry'!$B$9,IF(AND($B$3=1,'Data Entry'!$B$8=0),'Data Entry'!L78*'Data Entry'!$B$9,"Conversion Error"))),"")</f>
      </c>
      <c r="C99" s="234">
        <f>IF(ISNUMBER('Data Entry'!$Q78),IF(ISNUMBER('Data Entry'!$M78),'Data Entry'!$M78,IF(ISNUMBER('Data Entry'!$N78),'Data Entry'!$N78,"Error")),"")</f>
      </c>
      <c r="D99" s="236">
        <f>IF('Data Entry'!$Q78="","",IF(ISERROR($B99*COS(((360-$B$6)-$C99+90)*PI()/180)),"Error",$B99*COS(((360-$B$6)-$C99+90)*PI()/180)))</f>
      </c>
      <c r="E99" s="237">
        <f>IF('Data Entry'!$Q78="","",IF(ISERROR($B99*SIN(((360-$B$6)-$C99+90)*PI()/180)),"Error",$B99*SIN(((360-$B$6)-$C99+90)*PI()/180)))</f>
      </c>
      <c r="F99" s="234">
        <f t="shared" si="2"/>
      </c>
      <c r="G99" s="234">
        <f t="shared" si="2"/>
      </c>
      <c r="H99" s="83"/>
      <c r="I99" s="245">
        <f t="shared" si="12"/>
      </c>
      <c r="J99" s="245">
        <f t="shared" si="9"/>
      </c>
      <c r="K99" s="188">
        <f t="shared" si="4"/>
      </c>
      <c r="L99" s="187">
        <f t="shared" si="5"/>
      </c>
      <c r="M99" s="245">
        <f t="shared" si="6"/>
      </c>
      <c r="N99" s="245">
        <f t="shared" si="7"/>
      </c>
      <c r="O99" s="83"/>
      <c r="P99" s="253">
        <f t="shared" si="10"/>
      </c>
      <c r="Q99" s="254">
        <f t="shared" si="11"/>
      </c>
      <c r="R99"/>
      <c r="S99" s="1"/>
      <c r="T99"/>
      <c r="W99"/>
      <c r="X99"/>
      <c r="Z99"/>
    </row>
    <row r="100" spans="1:26" ht="12.75">
      <c r="A100" s="235">
        <f>IF(ISNUMBER('Data Entry'!$Q79),'Data Entry'!A79,"")</f>
      </c>
      <c r="B100" s="234">
        <f>IF(ISNUMBER('Data Entry'!$Q79),IF($B$3='Data Entry'!$B$8,'Data Entry'!L79,IF(AND($B$3=0,'Data Entry'!$B$8=1),'Data Entry'!L79/'Data Entry'!$B$9,IF(AND($B$3=1,'Data Entry'!$B$8=0),'Data Entry'!L79*'Data Entry'!$B$9,"Conversion Error"))),"")</f>
      </c>
      <c r="C100" s="234">
        <f>IF(ISNUMBER('Data Entry'!$Q79),IF(ISNUMBER('Data Entry'!$M79),'Data Entry'!$M79,IF(ISNUMBER('Data Entry'!$N79),'Data Entry'!$N79,"Error")),"")</f>
      </c>
      <c r="D100" s="236">
        <f>IF('Data Entry'!$Q79="","",IF(ISERROR($B100*COS(((360-$B$6)-$C100+90)*PI()/180)),"Error",$B100*COS(((360-$B$6)-$C100+90)*PI()/180)))</f>
      </c>
      <c r="E100" s="237">
        <f>IF('Data Entry'!$Q79="","",IF(ISERROR($B100*SIN(((360-$B$6)-$C100+90)*PI()/180)),"Error",$B100*SIN(((360-$B$6)-$C100+90)*PI()/180)))</f>
      </c>
      <c r="F100" s="234">
        <f t="shared" si="2"/>
      </c>
      <c r="G100" s="234">
        <f t="shared" si="2"/>
      </c>
      <c r="H100" s="83"/>
      <c r="I100" s="245">
        <f t="shared" si="12"/>
      </c>
      <c r="J100" s="245">
        <f t="shared" si="9"/>
      </c>
      <c r="K100" s="188">
        <f t="shared" si="4"/>
      </c>
      <c r="L100" s="187">
        <f t="shared" si="5"/>
      </c>
      <c r="M100" s="245">
        <f t="shared" si="6"/>
      </c>
      <c r="N100" s="245">
        <f t="shared" si="7"/>
      </c>
      <c r="O100" s="83"/>
      <c r="P100" s="253">
        <f t="shared" si="10"/>
      </c>
      <c r="Q100" s="254">
        <f t="shared" si="11"/>
      </c>
      <c r="R100"/>
      <c r="S100" s="1"/>
      <c r="T100"/>
      <c r="W100"/>
      <c r="X100"/>
      <c r="Z100"/>
    </row>
    <row r="101" spans="1:26" ht="12.75">
      <c r="A101" s="235">
        <f>IF(ISNUMBER('Data Entry'!$Q80),'Data Entry'!A80,"")</f>
      </c>
      <c r="B101" s="234">
        <f>IF(ISNUMBER('Data Entry'!$Q80),IF($B$3='Data Entry'!$B$8,'Data Entry'!L80,IF(AND($B$3=0,'Data Entry'!$B$8=1),'Data Entry'!L80/'Data Entry'!$B$9,IF(AND($B$3=1,'Data Entry'!$B$8=0),'Data Entry'!L80*'Data Entry'!$B$9,"Conversion Error"))),"")</f>
      </c>
      <c r="C101" s="234">
        <f>IF(ISNUMBER('Data Entry'!$Q80),IF(ISNUMBER('Data Entry'!$M80),'Data Entry'!$M80,IF(ISNUMBER('Data Entry'!$N80),'Data Entry'!$N80,"Error")),"")</f>
      </c>
      <c r="D101" s="236">
        <f>IF('Data Entry'!$Q80="","",IF(ISERROR($B101*COS(((360-$B$6)-$C101+90)*PI()/180)),"Error",$B101*COS(((360-$B$6)-$C101+90)*PI()/180)))</f>
      </c>
      <c r="E101" s="237">
        <f>IF('Data Entry'!$Q80="","",IF(ISERROR($B101*SIN(((360-$B$6)-$C101+90)*PI()/180)),"Error",$B101*SIN(((360-$B$6)-$C101+90)*PI()/180)))</f>
      </c>
      <c r="F101" s="234">
        <f t="shared" si="2"/>
      </c>
      <c r="G101" s="234">
        <f t="shared" si="2"/>
      </c>
      <c r="H101" s="83"/>
      <c r="I101" s="245">
        <f t="shared" si="12"/>
      </c>
      <c r="J101" s="245">
        <f t="shared" si="9"/>
      </c>
      <c r="K101" s="188">
        <f t="shared" si="4"/>
      </c>
      <c r="L101" s="187">
        <f t="shared" si="5"/>
      </c>
      <c r="M101" s="245">
        <f t="shared" si="6"/>
      </c>
      <c r="N101" s="245">
        <f t="shared" si="7"/>
      </c>
      <c r="O101" s="83"/>
      <c r="P101" s="253">
        <f t="shared" si="10"/>
      </c>
      <c r="Q101" s="254">
        <f t="shared" si="11"/>
      </c>
      <c r="R101"/>
      <c r="S101" s="1"/>
      <c r="T101"/>
      <c r="W101"/>
      <c r="X101"/>
      <c r="Z101"/>
    </row>
    <row r="102" spans="1:26" ht="12.75">
      <c r="A102" s="235">
        <f>IF(ISNUMBER('Data Entry'!$Q81),'Data Entry'!A81,"")</f>
      </c>
      <c r="B102" s="234">
        <f>IF(ISNUMBER('Data Entry'!$Q81),IF($B$3='Data Entry'!$B$8,'Data Entry'!L81,IF(AND($B$3=0,'Data Entry'!$B$8=1),'Data Entry'!L81/'Data Entry'!$B$9,IF(AND($B$3=1,'Data Entry'!$B$8=0),'Data Entry'!L81*'Data Entry'!$B$9,"Conversion Error"))),"")</f>
      </c>
      <c r="C102" s="234">
        <f>IF(ISNUMBER('Data Entry'!$Q81),IF(ISNUMBER('Data Entry'!$M81),'Data Entry'!$M81,IF(ISNUMBER('Data Entry'!$N81),'Data Entry'!$N81,"Error")),"")</f>
      </c>
      <c r="D102" s="236">
        <f>IF('Data Entry'!$Q81="","",IF(ISERROR($B102*COS(((360-$B$6)-$C102+90)*PI()/180)),"Error",$B102*COS(((360-$B$6)-$C102+90)*PI()/180)))</f>
      </c>
      <c r="E102" s="237">
        <f>IF('Data Entry'!$Q81="","",IF(ISERROR($B102*SIN(((360-$B$6)-$C102+90)*PI()/180)),"Error",$B102*SIN(((360-$B$6)-$C102+90)*PI()/180)))</f>
      </c>
      <c r="F102" s="234">
        <f t="shared" si="2"/>
      </c>
      <c r="G102" s="234">
        <f t="shared" si="2"/>
      </c>
      <c r="H102" s="83"/>
      <c r="I102" s="245">
        <f t="shared" si="12"/>
      </c>
      <c r="J102" s="245">
        <f aca="true" t="shared" si="13" ref="J102:J133">IF(K102="","",IF(AND($K102&gt;0,$L102&gt;0),(360-ATAN($L102/$K102)*180/PI()+360-$B$6+90)-(360*(INT((360-ATAN($L102/$K102)*180/PI()+360-$B$6+90)/360))),(IF(AND($K102&gt;0,$L102&lt;0),(0-ATAN($L102/$K102)*180/PI()+360-$B$6+90)-(360*(INT((0-ATAN($L102/$K102)*180/PI()+360-$B$6+90)/360))),(IF(AND($K102&lt;0,$L102&lt;0),(180-ATAN($L102/$K102)*180/PI()+360-$B$6+90)-(360*(INT((180-ATAN($L102/$K102)*180/PI()+360-$B$6+90)/360))),(180-ATAN($L102/$K102)*180/PI()+360-$B$6+90)-(360*(INT((180-ATAN($L102/$K102)*180/PI()+360-$B$6+90)/360)))))))))</f>
      </c>
      <c r="K102" s="188">
        <f t="shared" si="4"/>
      </c>
      <c r="L102" s="187">
        <f t="shared" si="5"/>
      </c>
      <c r="M102" s="245">
        <f t="shared" si="6"/>
      </c>
      <c r="N102" s="245">
        <f t="shared" si="7"/>
      </c>
      <c r="O102" s="83"/>
      <c r="P102" s="253">
        <f t="shared" si="10"/>
      </c>
      <c r="Q102" s="254">
        <f t="shared" si="11"/>
      </c>
      <c r="R102"/>
      <c r="S102" s="1"/>
      <c r="T102"/>
      <c r="W102"/>
      <c r="X102"/>
      <c r="Z102"/>
    </row>
    <row r="103" spans="1:26" ht="12.75">
      <c r="A103" s="235">
        <f>IF(ISNUMBER('Data Entry'!$Q82),'Data Entry'!A82,"")</f>
      </c>
      <c r="B103" s="234">
        <f>IF(ISNUMBER('Data Entry'!$Q82),IF($B$3='Data Entry'!$B$8,'Data Entry'!L82,IF(AND($B$3=0,'Data Entry'!$B$8=1),'Data Entry'!L82/'Data Entry'!$B$9,IF(AND($B$3=1,'Data Entry'!$B$8=0),'Data Entry'!L82*'Data Entry'!$B$9,"Conversion Error"))),"")</f>
      </c>
      <c r="C103" s="234">
        <f>IF(ISNUMBER('Data Entry'!$Q82),IF(ISNUMBER('Data Entry'!$M82),'Data Entry'!$M82,IF(ISNUMBER('Data Entry'!$N82),'Data Entry'!$N82,"Error")),"")</f>
      </c>
      <c r="D103" s="236">
        <f>IF('Data Entry'!$Q82="","",IF(ISERROR($B103*COS(((360-$B$6)-$C103+90)*PI()/180)),"Error",$B103*COS(((360-$B$6)-$C103+90)*PI()/180)))</f>
      </c>
      <c r="E103" s="237">
        <f>IF('Data Entry'!$Q82="","",IF(ISERROR($B103*SIN(((360-$B$6)-$C103+90)*PI()/180)),"Error",$B103*SIN(((360-$B$6)-$C103+90)*PI()/180)))</f>
      </c>
      <c r="F103" s="234">
        <f aca="true" t="shared" si="14" ref="F103:G137">IF(ISERROR(F102+D103),"",F102+D103)</f>
      </c>
      <c r="G103" s="234">
        <f t="shared" si="14"/>
      </c>
      <c r="H103" s="83"/>
      <c r="I103" s="245">
        <f t="shared" si="12"/>
      </c>
      <c r="J103" s="245">
        <f t="shared" si="13"/>
      </c>
      <c r="K103" s="188">
        <f aca="true" t="shared" si="15" ref="K103:K137">IF(ISERROR((D103-((SUM(D$38:D$137)/SUM($B$38:$B$137))*$B103))),"",(D103-((SUM(D$38:D$137)/SUM($B$38:$B$137))*$B103)))</f>
      </c>
      <c r="L103" s="187">
        <f aca="true" t="shared" si="16" ref="L103:L137">IF(ISERROR((E103-((SUM(E$38:E$137)/SUM($B$38:$B$137))*$B103))),"",(E103-((SUM(E$38:E$137)/SUM($B$38:$B$137))*$B103)))</f>
      </c>
      <c r="M103" s="245">
        <f t="shared" si="6"/>
      </c>
      <c r="N103" s="245">
        <f t="shared" si="7"/>
      </c>
      <c r="O103" s="83"/>
      <c r="P103" s="253">
        <f t="shared" si="10"/>
      </c>
      <c r="Q103" s="254">
        <f t="shared" si="11"/>
      </c>
      <c r="R103"/>
      <c r="S103" s="1"/>
      <c r="T103"/>
      <c r="W103"/>
      <c r="X103"/>
      <c r="Z103"/>
    </row>
    <row r="104" spans="1:26" ht="12.75">
      <c r="A104" s="235">
        <f>IF(ISNUMBER('Data Entry'!$Q83),'Data Entry'!A83,"")</f>
      </c>
      <c r="B104" s="234">
        <f>IF(ISNUMBER('Data Entry'!$Q83),IF($B$3='Data Entry'!$B$8,'Data Entry'!L83,IF(AND($B$3=0,'Data Entry'!$B$8=1),'Data Entry'!L83/'Data Entry'!$B$9,IF(AND($B$3=1,'Data Entry'!$B$8=0),'Data Entry'!L83*'Data Entry'!$B$9,"Conversion Error"))),"")</f>
      </c>
      <c r="C104" s="234">
        <f>IF(ISNUMBER('Data Entry'!$Q83),IF(ISNUMBER('Data Entry'!$M83),'Data Entry'!$M83,IF(ISNUMBER('Data Entry'!$N83),'Data Entry'!$N83,"Error")),"")</f>
      </c>
      <c r="D104" s="236">
        <f>IF('Data Entry'!$Q83="","",IF(ISERROR($B104*COS(((360-$B$6)-$C104+90)*PI()/180)),"Error",$B104*COS(((360-$B$6)-$C104+90)*PI()/180)))</f>
      </c>
      <c r="E104" s="237">
        <f>IF('Data Entry'!$Q83="","",IF(ISERROR($B104*SIN(((360-$B$6)-$C104+90)*PI()/180)),"Error",$B104*SIN(((360-$B$6)-$C104+90)*PI()/180)))</f>
      </c>
      <c r="F104" s="234">
        <f t="shared" si="14"/>
      </c>
      <c r="G104" s="234">
        <f t="shared" si="14"/>
      </c>
      <c r="H104" s="83"/>
      <c r="I104" s="245">
        <f t="shared" si="12"/>
      </c>
      <c r="J104" s="245">
        <f t="shared" si="13"/>
      </c>
      <c r="K104" s="188">
        <f t="shared" si="15"/>
      </c>
      <c r="L104" s="187">
        <f t="shared" si="16"/>
      </c>
      <c r="M104" s="245">
        <f aca="true" t="shared" si="17" ref="M104:M137">IF(ISERROR(M103+K104),"",(M103+K104))</f>
      </c>
      <c r="N104" s="245">
        <f aca="true" t="shared" si="18" ref="N104:N137">IF(ISERROR(N103+L104),"",(N103+L104))</f>
      </c>
      <c r="O104" s="83"/>
      <c r="P104" s="253">
        <f t="shared" si="10"/>
      </c>
      <c r="Q104" s="254">
        <f t="shared" si="11"/>
      </c>
      <c r="R104"/>
      <c r="S104" s="1"/>
      <c r="T104"/>
      <c r="W104"/>
      <c r="X104"/>
      <c r="Z104"/>
    </row>
    <row r="105" spans="1:26" ht="12.75">
      <c r="A105" s="235">
        <f>IF(ISNUMBER('Data Entry'!$Q84),'Data Entry'!A84,"")</f>
      </c>
      <c r="B105" s="234">
        <f>IF(ISNUMBER('Data Entry'!$Q84),IF($B$3='Data Entry'!$B$8,'Data Entry'!L84,IF(AND($B$3=0,'Data Entry'!$B$8=1),'Data Entry'!L84/'Data Entry'!$B$9,IF(AND($B$3=1,'Data Entry'!$B$8=0),'Data Entry'!L84*'Data Entry'!$B$9,"Conversion Error"))),"")</f>
      </c>
      <c r="C105" s="234">
        <f>IF(ISNUMBER('Data Entry'!$Q84),IF(ISNUMBER('Data Entry'!$M84),'Data Entry'!$M84,IF(ISNUMBER('Data Entry'!$N84),'Data Entry'!$N84,"Error")),"")</f>
      </c>
      <c r="D105" s="236">
        <f>IF('Data Entry'!$Q84="","",IF(ISERROR($B105*COS(((360-$B$6)-$C105+90)*PI()/180)),"Error",$B105*COS(((360-$B$6)-$C105+90)*PI()/180)))</f>
      </c>
      <c r="E105" s="237">
        <f>IF('Data Entry'!$Q84="","",IF(ISERROR($B105*SIN(((360-$B$6)-$C105+90)*PI()/180)),"Error",$B105*SIN(((360-$B$6)-$C105+90)*PI()/180)))</f>
      </c>
      <c r="F105" s="234">
        <f t="shared" si="14"/>
      </c>
      <c r="G105" s="234">
        <f t="shared" si="14"/>
      </c>
      <c r="H105" s="83"/>
      <c r="I105" s="245">
        <f t="shared" si="12"/>
      </c>
      <c r="J105" s="245">
        <f t="shared" si="13"/>
      </c>
      <c r="K105" s="188">
        <f t="shared" si="15"/>
      </c>
      <c r="L105" s="187">
        <f t="shared" si="16"/>
      </c>
      <c r="M105" s="245">
        <f t="shared" si="17"/>
      </c>
      <c r="N105" s="245">
        <f t="shared" si="18"/>
      </c>
      <c r="O105" s="83"/>
      <c r="P105" s="253">
        <f t="shared" si="10"/>
      </c>
      <c r="Q105" s="254">
        <f t="shared" si="11"/>
      </c>
      <c r="R105"/>
      <c r="S105" s="1"/>
      <c r="T105"/>
      <c r="W105"/>
      <c r="X105"/>
      <c r="Z105"/>
    </row>
    <row r="106" spans="1:26" ht="12.75">
      <c r="A106" s="235">
        <f>IF(ISNUMBER('Data Entry'!$Q85),'Data Entry'!A85,"")</f>
      </c>
      <c r="B106" s="234">
        <f>IF(ISNUMBER('Data Entry'!$Q85),IF($B$3='Data Entry'!$B$8,'Data Entry'!L85,IF(AND($B$3=0,'Data Entry'!$B$8=1),'Data Entry'!L85/'Data Entry'!$B$9,IF(AND($B$3=1,'Data Entry'!$B$8=0),'Data Entry'!L85*'Data Entry'!$B$9,"Conversion Error"))),"")</f>
      </c>
      <c r="C106" s="234">
        <f>IF(ISNUMBER('Data Entry'!$Q85),IF(ISNUMBER('Data Entry'!$M85),'Data Entry'!$M85,IF(ISNUMBER('Data Entry'!$N85),'Data Entry'!$N85,"Error")),"")</f>
      </c>
      <c r="D106" s="236">
        <f>IF('Data Entry'!$Q85="","",IF(ISERROR($B106*COS(((360-$B$6)-$C106+90)*PI()/180)),"Error",$B106*COS(((360-$B$6)-$C106+90)*PI()/180)))</f>
      </c>
      <c r="E106" s="237">
        <f>IF('Data Entry'!$Q85="","",IF(ISERROR($B106*SIN(((360-$B$6)-$C106+90)*PI()/180)),"Error",$B106*SIN(((360-$B$6)-$C106+90)*PI()/180)))</f>
      </c>
      <c r="F106" s="234">
        <f t="shared" si="14"/>
      </c>
      <c r="G106" s="234">
        <f t="shared" si="14"/>
      </c>
      <c r="H106" s="83"/>
      <c r="I106" s="245">
        <f t="shared" si="12"/>
      </c>
      <c r="J106" s="245">
        <f t="shared" si="13"/>
      </c>
      <c r="K106" s="188">
        <f t="shared" si="15"/>
      </c>
      <c r="L106" s="187">
        <f t="shared" si="16"/>
      </c>
      <c r="M106" s="245">
        <f t="shared" si="17"/>
      </c>
      <c r="N106" s="245">
        <f t="shared" si="18"/>
      </c>
      <c r="O106" s="83"/>
      <c r="P106" s="253">
        <f t="shared" si="10"/>
      </c>
      <c r="Q106" s="254">
        <f t="shared" si="11"/>
      </c>
      <c r="R106"/>
      <c r="S106" s="1"/>
      <c r="T106"/>
      <c r="W106"/>
      <c r="X106"/>
      <c r="Z106"/>
    </row>
    <row r="107" spans="1:26" ht="12.75">
      <c r="A107" s="235">
        <f>IF(ISNUMBER('Data Entry'!$Q86),'Data Entry'!A86,"")</f>
      </c>
      <c r="B107" s="234">
        <f>IF(ISNUMBER('Data Entry'!$Q86),IF($B$3='Data Entry'!$B$8,'Data Entry'!L86,IF(AND($B$3=0,'Data Entry'!$B$8=1),'Data Entry'!L86/'Data Entry'!$B$9,IF(AND($B$3=1,'Data Entry'!$B$8=0),'Data Entry'!L86*'Data Entry'!$B$9,"Conversion Error"))),"")</f>
      </c>
      <c r="C107" s="234">
        <f>IF(ISNUMBER('Data Entry'!$Q86),IF(ISNUMBER('Data Entry'!$M86),'Data Entry'!$M86,IF(ISNUMBER('Data Entry'!$N86),'Data Entry'!$N86,"Error")),"")</f>
      </c>
      <c r="D107" s="236">
        <f>IF('Data Entry'!$Q86="","",IF(ISERROR($B107*COS(((360-$B$6)-$C107+90)*PI()/180)),"Error",$B107*COS(((360-$B$6)-$C107+90)*PI()/180)))</f>
      </c>
      <c r="E107" s="237">
        <f>IF('Data Entry'!$Q86="","",IF(ISERROR($B107*SIN(((360-$B$6)-$C107+90)*PI()/180)),"Error",$B107*SIN(((360-$B$6)-$C107+90)*PI()/180)))</f>
      </c>
      <c r="F107" s="234">
        <f t="shared" si="14"/>
      </c>
      <c r="G107" s="234">
        <f t="shared" si="14"/>
      </c>
      <c r="H107" s="83"/>
      <c r="I107" s="245">
        <f t="shared" si="12"/>
      </c>
      <c r="J107" s="245">
        <f t="shared" si="13"/>
      </c>
      <c r="K107" s="188">
        <f t="shared" si="15"/>
      </c>
      <c r="L107" s="187">
        <f t="shared" si="16"/>
      </c>
      <c r="M107" s="245">
        <f t="shared" si="17"/>
      </c>
      <c r="N107" s="245">
        <f t="shared" si="18"/>
      </c>
      <c r="O107" s="83"/>
      <c r="P107" s="253">
        <f t="shared" si="10"/>
      </c>
      <c r="Q107" s="254">
        <f t="shared" si="11"/>
      </c>
      <c r="R107"/>
      <c r="S107" s="1"/>
      <c r="T107"/>
      <c r="W107"/>
      <c r="X107"/>
      <c r="Z107"/>
    </row>
    <row r="108" spans="1:26" ht="12.75">
      <c r="A108" s="235">
        <f>IF(ISNUMBER('Data Entry'!$Q87),'Data Entry'!A87,"")</f>
      </c>
      <c r="B108" s="234">
        <f>IF(ISNUMBER('Data Entry'!$Q87),IF($B$3='Data Entry'!$B$8,'Data Entry'!L87,IF(AND($B$3=0,'Data Entry'!$B$8=1),'Data Entry'!L87/'Data Entry'!$B$9,IF(AND($B$3=1,'Data Entry'!$B$8=0),'Data Entry'!L87*'Data Entry'!$B$9,"Conversion Error"))),"")</f>
      </c>
      <c r="C108" s="234">
        <f>IF(ISNUMBER('Data Entry'!$Q87),IF(ISNUMBER('Data Entry'!$M87),'Data Entry'!$M87,IF(ISNUMBER('Data Entry'!$N87),'Data Entry'!$N87,"Error")),"")</f>
      </c>
      <c r="D108" s="236">
        <f>IF('Data Entry'!$Q87="","",IF(ISERROR($B108*COS(((360-$B$6)-$C108+90)*PI()/180)),"Error",$B108*COS(((360-$B$6)-$C108+90)*PI()/180)))</f>
      </c>
      <c r="E108" s="237">
        <f>IF('Data Entry'!$Q87="","",IF(ISERROR($B108*SIN(((360-$B$6)-$C108+90)*PI()/180)),"Error",$B108*SIN(((360-$B$6)-$C108+90)*PI()/180)))</f>
      </c>
      <c r="F108" s="234">
        <f t="shared" si="14"/>
      </c>
      <c r="G108" s="234">
        <f t="shared" si="14"/>
      </c>
      <c r="H108" s="83"/>
      <c r="I108" s="245">
        <f t="shared" si="12"/>
      </c>
      <c r="J108" s="245">
        <f t="shared" si="13"/>
      </c>
      <c r="K108" s="188">
        <f t="shared" si="15"/>
      </c>
      <c r="L108" s="187">
        <f t="shared" si="16"/>
      </c>
      <c r="M108" s="245">
        <f t="shared" si="17"/>
      </c>
      <c r="N108" s="245">
        <f t="shared" si="18"/>
      </c>
      <c r="O108" s="83"/>
      <c r="P108" s="253">
        <f t="shared" si="10"/>
      </c>
      <c r="Q108" s="254">
        <f t="shared" si="11"/>
      </c>
      <c r="R108"/>
      <c r="S108" s="1"/>
      <c r="T108"/>
      <c r="W108"/>
      <c r="X108"/>
      <c r="Z108"/>
    </row>
    <row r="109" spans="1:26" ht="12.75">
      <c r="A109" s="235">
        <f>IF(ISNUMBER('Data Entry'!$Q88),'Data Entry'!A88,"")</f>
      </c>
      <c r="B109" s="234">
        <f>IF(ISNUMBER('Data Entry'!$Q88),IF($B$3='Data Entry'!$B$8,'Data Entry'!L88,IF(AND($B$3=0,'Data Entry'!$B$8=1),'Data Entry'!L88/'Data Entry'!$B$9,IF(AND($B$3=1,'Data Entry'!$B$8=0),'Data Entry'!L88*'Data Entry'!$B$9,"Conversion Error"))),"")</f>
      </c>
      <c r="C109" s="234">
        <f>IF(ISNUMBER('Data Entry'!$Q88),IF(ISNUMBER('Data Entry'!$M88),'Data Entry'!$M88,IF(ISNUMBER('Data Entry'!$N88),'Data Entry'!$N88,"Error")),"")</f>
      </c>
      <c r="D109" s="236">
        <f>IF('Data Entry'!$Q88="","",IF(ISERROR($B109*COS(((360-$B$6)-$C109+90)*PI()/180)),"Error",$B109*COS(((360-$B$6)-$C109+90)*PI()/180)))</f>
      </c>
      <c r="E109" s="237">
        <f>IF('Data Entry'!$Q88="","",IF(ISERROR($B109*SIN(((360-$B$6)-$C109+90)*PI()/180)),"Error",$B109*SIN(((360-$B$6)-$C109+90)*PI()/180)))</f>
      </c>
      <c r="F109" s="234">
        <f t="shared" si="14"/>
      </c>
      <c r="G109" s="234">
        <f t="shared" si="14"/>
      </c>
      <c r="H109" s="83"/>
      <c r="I109" s="245">
        <f t="shared" si="12"/>
      </c>
      <c r="J109" s="245">
        <f t="shared" si="13"/>
      </c>
      <c r="K109" s="188">
        <f t="shared" si="15"/>
      </c>
      <c r="L109" s="187">
        <f t="shared" si="16"/>
      </c>
      <c r="M109" s="245">
        <f t="shared" si="17"/>
      </c>
      <c r="N109" s="245">
        <f t="shared" si="18"/>
      </c>
      <c r="O109" s="83"/>
      <c r="P109" s="253">
        <f t="shared" si="10"/>
      </c>
      <c r="Q109" s="254">
        <f t="shared" si="11"/>
      </c>
      <c r="R109"/>
      <c r="S109" s="1"/>
      <c r="T109"/>
      <c r="W109"/>
      <c r="X109"/>
      <c r="Z109"/>
    </row>
    <row r="110" spans="1:26" ht="12.75">
      <c r="A110" s="235">
        <f>IF(ISNUMBER('Data Entry'!$Q89),'Data Entry'!A89,"")</f>
      </c>
      <c r="B110" s="234">
        <f>IF(ISNUMBER('Data Entry'!$Q89),IF($B$3='Data Entry'!$B$8,'Data Entry'!L89,IF(AND($B$3=0,'Data Entry'!$B$8=1),'Data Entry'!L89/'Data Entry'!$B$9,IF(AND($B$3=1,'Data Entry'!$B$8=0),'Data Entry'!L89*'Data Entry'!$B$9,"Conversion Error"))),"")</f>
      </c>
      <c r="C110" s="234">
        <f>IF(ISNUMBER('Data Entry'!$Q89),IF(ISNUMBER('Data Entry'!$M89),'Data Entry'!$M89,IF(ISNUMBER('Data Entry'!$N89),'Data Entry'!$N89,"Error")),"")</f>
      </c>
      <c r="D110" s="236">
        <f>IF('Data Entry'!$Q89="","",IF(ISERROR($B110*COS(((360-$B$6)-$C110+90)*PI()/180)),"Error",$B110*COS(((360-$B$6)-$C110+90)*PI()/180)))</f>
      </c>
      <c r="E110" s="237">
        <f>IF('Data Entry'!$Q89="","",IF(ISERROR($B110*SIN(((360-$B$6)-$C110+90)*PI()/180)),"Error",$B110*SIN(((360-$B$6)-$C110+90)*PI()/180)))</f>
      </c>
      <c r="F110" s="234">
        <f t="shared" si="14"/>
      </c>
      <c r="G110" s="234">
        <f t="shared" si="14"/>
      </c>
      <c r="H110" s="83"/>
      <c r="I110" s="245">
        <f t="shared" si="12"/>
      </c>
      <c r="J110" s="245">
        <f t="shared" si="13"/>
      </c>
      <c r="K110" s="188">
        <f t="shared" si="15"/>
      </c>
      <c r="L110" s="187">
        <f t="shared" si="16"/>
      </c>
      <c r="M110" s="245">
        <f t="shared" si="17"/>
      </c>
      <c r="N110" s="245">
        <f t="shared" si="18"/>
      </c>
      <c r="O110" s="83"/>
      <c r="P110" s="253">
        <f t="shared" si="10"/>
      </c>
      <c r="Q110" s="254">
        <f t="shared" si="11"/>
      </c>
      <c r="R110"/>
      <c r="S110" s="1"/>
      <c r="T110"/>
      <c r="W110"/>
      <c r="X110"/>
      <c r="Z110"/>
    </row>
    <row r="111" spans="1:26" ht="12.75">
      <c r="A111" s="235">
        <f>IF(ISNUMBER('Data Entry'!$Q90),'Data Entry'!A90,"")</f>
      </c>
      <c r="B111" s="234">
        <f>IF(ISNUMBER('Data Entry'!$Q90),IF($B$3='Data Entry'!$B$8,'Data Entry'!L90,IF(AND($B$3=0,'Data Entry'!$B$8=1),'Data Entry'!L90/'Data Entry'!$B$9,IF(AND($B$3=1,'Data Entry'!$B$8=0),'Data Entry'!L90*'Data Entry'!$B$9,"Conversion Error"))),"")</f>
      </c>
      <c r="C111" s="234">
        <f>IF(ISNUMBER('Data Entry'!$Q90),IF(ISNUMBER('Data Entry'!$M90),'Data Entry'!$M90,IF(ISNUMBER('Data Entry'!$N90),'Data Entry'!$N90,"Error")),"")</f>
      </c>
      <c r="D111" s="236">
        <f>IF('Data Entry'!$Q90="","",IF(ISERROR($B111*COS(((360-$B$6)-$C111+90)*PI()/180)),"Error",$B111*COS(((360-$B$6)-$C111+90)*PI()/180)))</f>
      </c>
      <c r="E111" s="237">
        <f>IF('Data Entry'!$Q90="","",IF(ISERROR($B111*SIN(((360-$B$6)-$C111+90)*PI()/180)),"Error",$B111*SIN(((360-$B$6)-$C111+90)*PI()/180)))</f>
      </c>
      <c r="F111" s="234">
        <f t="shared" si="14"/>
      </c>
      <c r="G111" s="234">
        <f t="shared" si="14"/>
      </c>
      <c r="H111" s="83"/>
      <c r="I111" s="245">
        <f t="shared" si="12"/>
      </c>
      <c r="J111" s="245">
        <f t="shared" si="13"/>
      </c>
      <c r="K111" s="188">
        <f t="shared" si="15"/>
      </c>
      <c r="L111" s="187">
        <f t="shared" si="16"/>
      </c>
      <c r="M111" s="245">
        <f t="shared" si="17"/>
      </c>
      <c r="N111" s="245">
        <f t="shared" si="18"/>
      </c>
      <c r="O111" s="83"/>
      <c r="P111" s="253">
        <f t="shared" si="10"/>
      </c>
      <c r="Q111" s="254">
        <f t="shared" si="11"/>
      </c>
      <c r="R111"/>
      <c r="S111" s="1"/>
      <c r="T111"/>
      <c r="W111"/>
      <c r="X111"/>
      <c r="Z111"/>
    </row>
    <row r="112" spans="1:26" ht="12.75">
      <c r="A112" s="235">
        <f>IF(ISNUMBER('Data Entry'!$Q91),'Data Entry'!A91,"")</f>
      </c>
      <c r="B112" s="234">
        <f>IF(ISNUMBER('Data Entry'!$Q91),IF($B$3='Data Entry'!$B$8,'Data Entry'!L91,IF(AND($B$3=0,'Data Entry'!$B$8=1),'Data Entry'!L91/'Data Entry'!$B$9,IF(AND($B$3=1,'Data Entry'!$B$8=0),'Data Entry'!L91*'Data Entry'!$B$9,"Conversion Error"))),"")</f>
      </c>
      <c r="C112" s="234">
        <f>IF(ISNUMBER('Data Entry'!$Q91),IF(ISNUMBER('Data Entry'!$M91),'Data Entry'!$M91,IF(ISNUMBER('Data Entry'!$N91),'Data Entry'!$N91,"Error")),"")</f>
      </c>
      <c r="D112" s="236">
        <f>IF('Data Entry'!$Q91="","",IF(ISERROR($B112*COS(((360-$B$6)-$C112+90)*PI()/180)),"Error",$B112*COS(((360-$B$6)-$C112+90)*PI()/180)))</f>
      </c>
      <c r="E112" s="237">
        <f>IF('Data Entry'!$Q91="","",IF(ISERROR($B112*SIN(((360-$B$6)-$C112+90)*PI()/180)),"Error",$B112*SIN(((360-$B$6)-$C112+90)*PI()/180)))</f>
      </c>
      <c r="F112" s="234">
        <f t="shared" si="14"/>
      </c>
      <c r="G112" s="234">
        <f t="shared" si="14"/>
      </c>
      <c r="H112" s="83"/>
      <c r="I112" s="245">
        <f t="shared" si="12"/>
      </c>
      <c r="J112" s="245">
        <f t="shared" si="13"/>
      </c>
      <c r="K112" s="188">
        <f t="shared" si="15"/>
      </c>
      <c r="L112" s="187">
        <f t="shared" si="16"/>
      </c>
      <c r="M112" s="245">
        <f t="shared" si="17"/>
      </c>
      <c r="N112" s="245">
        <f t="shared" si="18"/>
      </c>
      <c r="O112" s="83"/>
      <c r="P112" s="253">
        <f t="shared" si="10"/>
      </c>
      <c r="Q112" s="254">
        <f t="shared" si="11"/>
      </c>
      <c r="R112"/>
      <c r="S112" s="1"/>
      <c r="T112"/>
      <c r="W112"/>
      <c r="X112"/>
      <c r="Z112"/>
    </row>
    <row r="113" spans="1:26" ht="12.75">
      <c r="A113" s="235">
        <f>IF(ISNUMBER('Data Entry'!$Q92),'Data Entry'!A92,"")</f>
      </c>
      <c r="B113" s="234">
        <f>IF(ISNUMBER('Data Entry'!$Q92),IF($B$3='Data Entry'!$B$8,'Data Entry'!L92,IF(AND($B$3=0,'Data Entry'!$B$8=1),'Data Entry'!L92/'Data Entry'!$B$9,IF(AND($B$3=1,'Data Entry'!$B$8=0),'Data Entry'!L92*'Data Entry'!$B$9,"Conversion Error"))),"")</f>
      </c>
      <c r="C113" s="234">
        <f>IF(ISNUMBER('Data Entry'!$Q92),IF(ISNUMBER('Data Entry'!$M92),'Data Entry'!$M92,IF(ISNUMBER('Data Entry'!$N92),'Data Entry'!$N92,"Error")),"")</f>
      </c>
      <c r="D113" s="236">
        <f>IF('Data Entry'!$Q92="","",IF(ISERROR($B113*COS(((360-$B$6)-$C113+90)*PI()/180)),"Error",$B113*COS(((360-$B$6)-$C113+90)*PI()/180)))</f>
      </c>
      <c r="E113" s="237">
        <f>IF('Data Entry'!$Q92="","",IF(ISERROR($B113*SIN(((360-$B$6)-$C113+90)*PI()/180)),"Error",$B113*SIN(((360-$B$6)-$C113+90)*PI()/180)))</f>
      </c>
      <c r="F113" s="234">
        <f t="shared" si="14"/>
      </c>
      <c r="G113" s="234">
        <f t="shared" si="14"/>
      </c>
      <c r="H113" s="83"/>
      <c r="I113" s="245">
        <f t="shared" si="12"/>
      </c>
      <c r="J113" s="245">
        <f t="shared" si="13"/>
      </c>
      <c r="K113" s="188">
        <f t="shared" si="15"/>
      </c>
      <c r="L113" s="187">
        <f t="shared" si="16"/>
      </c>
      <c r="M113" s="245">
        <f t="shared" si="17"/>
      </c>
      <c r="N113" s="245">
        <f t="shared" si="18"/>
      </c>
      <c r="O113" s="83"/>
      <c r="P113" s="253">
        <f t="shared" si="10"/>
      </c>
      <c r="Q113" s="254">
        <f t="shared" si="11"/>
      </c>
      <c r="R113"/>
      <c r="S113" s="1"/>
      <c r="T113"/>
      <c r="W113"/>
      <c r="X113"/>
      <c r="Z113"/>
    </row>
    <row r="114" spans="1:26" ht="12.75">
      <c r="A114" s="235">
        <f>IF(ISNUMBER('Data Entry'!$Q93),'Data Entry'!A93,"")</f>
      </c>
      <c r="B114" s="234">
        <f>IF(ISNUMBER('Data Entry'!$Q93),IF($B$3='Data Entry'!$B$8,'Data Entry'!L93,IF(AND($B$3=0,'Data Entry'!$B$8=1),'Data Entry'!L93/'Data Entry'!$B$9,IF(AND($B$3=1,'Data Entry'!$B$8=0),'Data Entry'!L93*'Data Entry'!$B$9,"Conversion Error"))),"")</f>
      </c>
      <c r="C114" s="234">
        <f>IF(ISNUMBER('Data Entry'!$Q93),IF(ISNUMBER('Data Entry'!$M93),'Data Entry'!$M93,IF(ISNUMBER('Data Entry'!$N93),'Data Entry'!$N93,"Error")),"")</f>
      </c>
      <c r="D114" s="236">
        <f>IF('Data Entry'!$Q93="","",IF(ISERROR($B114*COS(((360-$B$6)-$C114+90)*PI()/180)),"Error",$B114*COS(((360-$B$6)-$C114+90)*PI()/180)))</f>
      </c>
      <c r="E114" s="237">
        <f>IF('Data Entry'!$Q93="","",IF(ISERROR($B114*SIN(((360-$B$6)-$C114+90)*PI()/180)),"Error",$B114*SIN(((360-$B$6)-$C114+90)*PI()/180)))</f>
      </c>
      <c r="F114" s="234">
        <f t="shared" si="14"/>
      </c>
      <c r="G114" s="234">
        <f t="shared" si="14"/>
      </c>
      <c r="H114" s="83"/>
      <c r="I114" s="245">
        <f t="shared" si="12"/>
      </c>
      <c r="J114" s="245">
        <f t="shared" si="13"/>
      </c>
      <c r="K114" s="188">
        <f t="shared" si="15"/>
      </c>
      <c r="L114" s="187">
        <f t="shared" si="16"/>
      </c>
      <c r="M114" s="245">
        <f t="shared" si="17"/>
      </c>
      <c r="N114" s="245">
        <f t="shared" si="18"/>
      </c>
      <c r="O114" s="83"/>
      <c r="P114" s="253">
        <f t="shared" si="10"/>
      </c>
      <c r="Q114" s="254">
        <f t="shared" si="11"/>
      </c>
      <c r="R114"/>
      <c r="S114" s="1"/>
      <c r="T114"/>
      <c r="W114"/>
      <c r="X114"/>
      <c r="Z114"/>
    </row>
    <row r="115" spans="1:26" ht="12.75">
      <c r="A115" s="235">
        <f>IF(ISNUMBER('Data Entry'!$Q94),'Data Entry'!A94,"")</f>
      </c>
      <c r="B115" s="234">
        <f>IF(ISNUMBER('Data Entry'!$Q94),IF($B$3='Data Entry'!$B$8,'Data Entry'!L94,IF(AND($B$3=0,'Data Entry'!$B$8=1),'Data Entry'!L94/'Data Entry'!$B$9,IF(AND($B$3=1,'Data Entry'!$B$8=0),'Data Entry'!L94*'Data Entry'!$B$9,"Conversion Error"))),"")</f>
      </c>
      <c r="C115" s="234">
        <f>IF(ISNUMBER('Data Entry'!$Q94),IF(ISNUMBER('Data Entry'!$M94),'Data Entry'!$M94,IF(ISNUMBER('Data Entry'!$N94),'Data Entry'!$N94,"Error")),"")</f>
      </c>
      <c r="D115" s="236">
        <f>IF('Data Entry'!$Q94="","",IF(ISERROR($B115*COS(((360-$B$6)-$C115+90)*PI()/180)),"Error",$B115*COS(((360-$B$6)-$C115+90)*PI()/180)))</f>
      </c>
      <c r="E115" s="237">
        <f>IF('Data Entry'!$Q94="","",IF(ISERROR($B115*SIN(((360-$B$6)-$C115+90)*PI()/180)),"Error",$B115*SIN(((360-$B$6)-$C115+90)*PI()/180)))</f>
      </c>
      <c r="F115" s="234">
        <f t="shared" si="14"/>
      </c>
      <c r="G115" s="234">
        <f t="shared" si="14"/>
      </c>
      <c r="H115" s="83"/>
      <c r="I115" s="245">
        <f t="shared" si="12"/>
      </c>
      <c r="J115" s="245">
        <f t="shared" si="13"/>
      </c>
      <c r="K115" s="188">
        <f t="shared" si="15"/>
      </c>
      <c r="L115" s="187">
        <f t="shared" si="16"/>
      </c>
      <c r="M115" s="245">
        <f t="shared" si="17"/>
      </c>
      <c r="N115" s="245">
        <f t="shared" si="18"/>
      </c>
      <c r="O115" s="83"/>
      <c r="P115" s="253">
        <f t="shared" si="10"/>
      </c>
      <c r="Q115" s="254">
        <f t="shared" si="11"/>
      </c>
      <c r="R115"/>
      <c r="S115" s="1"/>
      <c r="T115"/>
      <c r="W115"/>
      <c r="X115"/>
      <c r="Z115"/>
    </row>
    <row r="116" spans="1:26" ht="12.75">
      <c r="A116" s="235">
        <f>IF(ISNUMBER('Data Entry'!$Q95),'Data Entry'!A95,"")</f>
      </c>
      <c r="B116" s="234">
        <f>IF(ISNUMBER('Data Entry'!$Q95),IF($B$3='Data Entry'!$B$8,'Data Entry'!L95,IF(AND($B$3=0,'Data Entry'!$B$8=1),'Data Entry'!L95/'Data Entry'!$B$9,IF(AND($B$3=1,'Data Entry'!$B$8=0),'Data Entry'!L95*'Data Entry'!$B$9,"Conversion Error"))),"")</f>
      </c>
      <c r="C116" s="234">
        <f>IF(ISNUMBER('Data Entry'!$Q95),IF(ISNUMBER('Data Entry'!$M95),'Data Entry'!$M95,IF(ISNUMBER('Data Entry'!$N95),'Data Entry'!$N95,"Error")),"")</f>
      </c>
      <c r="D116" s="236">
        <f>IF('Data Entry'!$Q95="","",IF(ISERROR($B116*COS(((360-$B$6)-$C116+90)*PI()/180)),"Error",$B116*COS(((360-$B$6)-$C116+90)*PI()/180)))</f>
      </c>
      <c r="E116" s="237">
        <f>IF('Data Entry'!$Q95="","",IF(ISERROR($B116*SIN(((360-$B$6)-$C116+90)*PI()/180)),"Error",$B116*SIN(((360-$B$6)-$C116+90)*PI()/180)))</f>
      </c>
      <c r="F116" s="234">
        <f t="shared" si="14"/>
      </c>
      <c r="G116" s="234">
        <f t="shared" si="14"/>
      </c>
      <c r="H116" s="83"/>
      <c r="I116" s="245">
        <f t="shared" si="12"/>
      </c>
      <c r="J116" s="245">
        <f t="shared" si="13"/>
      </c>
      <c r="K116" s="188">
        <f t="shared" si="15"/>
      </c>
      <c r="L116" s="187">
        <f t="shared" si="16"/>
      </c>
      <c r="M116" s="245">
        <f t="shared" si="17"/>
      </c>
      <c r="N116" s="245">
        <f t="shared" si="18"/>
      </c>
      <c r="O116" s="83"/>
      <c r="P116" s="253">
        <f t="shared" si="10"/>
      </c>
      <c r="Q116" s="254">
        <f t="shared" si="11"/>
      </c>
      <c r="R116"/>
      <c r="S116" s="1"/>
      <c r="T116"/>
      <c r="W116"/>
      <c r="X116"/>
      <c r="Z116"/>
    </row>
    <row r="117" spans="1:26" ht="12.75">
      <c r="A117" s="235">
        <f>IF(ISNUMBER('Data Entry'!$Q96),'Data Entry'!A96,"")</f>
      </c>
      <c r="B117" s="234">
        <f>IF(ISNUMBER('Data Entry'!$Q96),IF($B$3='Data Entry'!$B$8,'Data Entry'!L96,IF(AND($B$3=0,'Data Entry'!$B$8=1),'Data Entry'!L96/'Data Entry'!$B$9,IF(AND($B$3=1,'Data Entry'!$B$8=0),'Data Entry'!L96*'Data Entry'!$B$9,"Conversion Error"))),"")</f>
      </c>
      <c r="C117" s="234">
        <f>IF(ISNUMBER('Data Entry'!$Q96),IF(ISNUMBER('Data Entry'!$M96),'Data Entry'!$M96,IF(ISNUMBER('Data Entry'!$N96),'Data Entry'!$N96,"Error")),"")</f>
      </c>
      <c r="D117" s="236">
        <f>IF('Data Entry'!$Q96="","",IF(ISERROR($B117*COS(((360-$B$6)-$C117+90)*PI()/180)),"Error",$B117*COS(((360-$B$6)-$C117+90)*PI()/180)))</f>
      </c>
      <c r="E117" s="237">
        <f>IF('Data Entry'!$Q96="","",IF(ISERROR($B117*SIN(((360-$B$6)-$C117+90)*PI()/180)),"Error",$B117*SIN(((360-$B$6)-$C117+90)*PI()/180)))</f>
      </c>
      <c r="F117" s="234">
        <f t="shared" si="14"/>
      </c>
      <c r="G117" s="234">
        <f t="shared" si="14"/>
      </c>
      <c r="H117" s="83"/>
      <c r="I117" s="245">
        <f t="shared" si="12"/>
      </c>
      <c r="J117" s="245">
        <f t="shared" si="13"/>
      </c>
      <c r="K117" s="188">
        <f t="shared" si="15"/>
      </c>
      <c r="L117" s="187">
        <f t="shared" si="16"/>
      </c>
      <c r="M117" s="245">
        <f t="shared" si="17"/>
      </c>
      <c r="N117" s="245">
        <f t="shared" si="18"/>
      </c>
      <c r="O117" s="83"/>
      <c r="P117" s="253">
        <f t="shared" si="10"/>
      </c>
      <c r="Q117" s="254">
        <f t="shared" si="11"/>
      </c>
      <c r="R117"/>
      <c r="S117" s="1"/>
      <c r="T117"/>
      <c r="W117"/>
      <c r="X117"/>
      <c r="Z117"/>
    </row>
    <row r="118" spans="1:26" ht="12.75">
      <c r="A118" s="235">
        <f>IF(ISNUMBER('Data Entry'!$Q97),'Data Entry'!A97,"")</f>
      </c>
      <c r="B118" s="234">
        <f>IF(ISNUMBER('Data Entry'!$Q97),IF($B$3='Data Entry'!$B$8,'Data Entry'!L97,IF(AND($B$3=0,'Data Entry'!$B$8=1),'Data Entry'!L97/'Data Entry'!$B$9,IF(AND($B$3=1,'Data Entry'!$B$8=0),'Data Entry'!L97*'Data Entry'!$B$9,"Conversion Error"))),"")</f>
      </c>
      <c r="C118" s="234">
        <f>IF(ISNUMBER('Data Entry'!$Q97),IF(ISNUMBER('Data Entry'!$M97),'Data Entry'!$M97,IF(ISNUMBER('Data Entry'!$N97),'Data Entry'!$N97,"Error")),"")</f>
      </c>
      <c r="D118" s="236">
        <f>IF('Data Entry'!$Q97="","",IF(ISERROR($B118*COS(((360-$B$6)-$C118+90)*PI()/180)),"Error",$B118*COS(((360-$B$6)-$C118+90)*PI()/180)))</f>
      </c>
      <c r="E118" s="237">
        <f>IF('Data Entry'!$Q97="","",IF(ISERROR($B118*SIN(((360-$B$6)-$C118+90)*PI()/180)),"Error",$B118*SIN(((360-$B$6)-$C118+90)*PI()/180)))</f>
      </c>
      <c r="F118" s="234">
        <f t="shared" si="14"/>
      </c>
      <c r="G118" s="234">
        <f t="shared" si="14"/>
      </c>
      <c r="H118" s="83"/>
      <c r="I118" s="245">
        <f t="shared" si="12"/>
      </c>
      <c r="J118" s="245">
        <f t="shared" si="13"/>
      </c>
      <c r="K118" s="188">
        <f t="shared" si="15"/>
      </c>
      <c r="L118" s="187">
        <f t="shared" si="16"/>
      </c>
      <c r="M118" s="245">
        <f t="shared" si="17"/>
      </c>
      <c r="N118" s="245">
        <f t="shared" si="18"/>
      </c>
      <c r="O118" s="83"/>
      <c r="P118" s="253">
        <f t="shared" si="10"/>
      </c>
      <c r="Q118" s="254">
        <f t="shared" si="11"/>
      </c>
      <c r="R118"/>
      <c r="S118" s="1"/>
      <c r="T118"/>
      <c r="W118"/>
      <c r="X118"/>
      <c r="Z118"/>
    </row>
    <row r="119" spans="1:26" ht="12.75">
      <c r="A119" s="235">
        <f>IF(ISNUMBER('Data Entry'!$Q98),'Data Entry'!A98,"")</f>
      </c>
      <c r="B119" s="234">
        <f>IF(ISNUMBER('Data Entry'!$Q98),IF($B$3='Data Entry'!$B$8,'Data Entry'!L98,IF(AND($B$3=0,'Data Entry'!$B$8=1),'Data Entry'!L98/'Data Entry'!$B$9,IF(AND($B$3=1,'Data Entry'!$B$8=0),'Data Entry'!L98*'Data Entry'!$B$9,"Conversion Error"))),"")</f>
      </c>
      <c r="C119" s="234">
        <f>IF(ISNUMBER('Data Entry'!$Q98),IF(ISNUMBER('Data Entry'!$M98),'Data Entry'!$M98,IF(ISNUMBER('Data Entry'!$N98),'Data Entry'!$N98,"Error")),"")</f>
      </c>
      <c r="D119" s="236">
        <f>IF('Data Entry'!$Q98="","",IF(ISERROR($B119*COS(((360-$B$6)-$C119+90)*PI()/180)),"Error",$B119*COS(((360-$B$6)-$C119+90)*PI()/180)))</f>
      </c>
      <c r="E119" s="237">
        <f>IF('Data Entry'!$Q98="","",IF(ISERROR($B119*SIN(((360-$B$6)-$C119+90)*PI()/180)),"Error",$B119*SIN(((360-$B$6)-$C119+90)*PI()/180)))</f>
      </c>
      <c r="F119" s="234">
        <f t="shared" si="14"/>
      </c>
      <c r="G119" s="234">
        <f t="shared" si="14"/>
      </c>
      <c r="H119" s="83"/>
      <c r="I119" s="245">
        <f t="shared" si="12"/>
      </c>
      <c r="J119" s="245">
        <f t="shared" si="13"/>
      </c>
      <c r="K119" s="188">
        <f t="shared" si="15"/>
      </c>
      <c r="L119" s="187">
        <f t="shared" si="16"/>
      </c>
      <c r="M119" s="245">
        <f t="shared" si="17"/>
      </c>
      <c r="N119" s="245">
        <f t="shared" si="18"/>
      </c>
      <c r="O119" s="83"/>
      <c r="P119" s="253">
        <f t="shared" si="10"/>
      </c>
      <c r="Q119" s="254">
        <f t="shared" si="11"/>
      </c>
      <c r="R119"/>
      <c r="S119" s="1"/>
      <c r="T119"/>
      <c r="W119"/>
      <c r="X119"/>
      <c r="Z119"/>
    </row>
    <row r="120" spans="1:26" ht="12.75">
      <c r="A120" s="235">
        <f>IF(ISNUMBER('Data Entry'!$Q99),'Data Entry'!A99,"")</f>
      </c>
      <c r="B120" s="234">
        <f>IF(ISNUMBER('Data Entry'!$Q99),IF($B$3='Data Entry'!$B$8,'Data Entry'!L99,IF(AND($B$3=0,'Data Entry'!$B$8=1),'Data Entry'!L99/'Data Entry'!$B$9,IF(AND($B$3=1,'Data Entry'!$B$8=0),'Data Entry'!L99*'Data Entry'!$B$9,"Conversion Error"))),"")</f>
      </c>
      <c r="C120" s="234">
        <f>IF(ISNUMBER('Data Entry'!$Q99),IF(ISNUMBER('Data Entry'!$M99),'Data Entry'!$M99,IF(ISNUMBER('Data Entry'!$N99),'Data Entry'!$N99,"Error")),"")</f>
      </c>
      <c r="D120" s="236">
        <f>IF('Data Entry'!$Q99="","",IF(ISERROR($B120*COS(((360-$B$6)-$C120+90)*PI()/180)),"Error",$B120*COS(((360-$B$6)-$C120+90)*PI()/180)))</f>
      </c>
      <c r="E120" s="237">
        <f>IF('Data Entry'!$Q99="","",IF(ISERROR($B120*SIN(((360-$B$6)-$C120+90)*PI()/180)),"Error",$B120*SIN(((360-$B$6)-$C120+90)*PI()/180)))</f>
      </c>
      <c r="F120" s="234">
        <f t="shared" si="14"/>
      </c>
      <c r="G120" s="234">
        <f t="shared" si="14"/>
      </c>
      <c r="H120" s="83"/>
      <c r="I120" s="245">
        <f t="shared" si="12"/>
      </c>
      <c r="J120" s="245">
        <f t="shared" si="13"/>
      </c>
      <c r="K120" s="188">
        <f t="shared" si="15"/>
      </c>
      <c r="L120" s="187">
        <f t="shared" si="16"/>
      </c>
      <c r="M120" s="245">
        <f t="shared" si="17"/>
      </c>
      <c r="N120" s="245">
        <f t="shared" si="18"/>
      </c>
      <c r="O120" s="83"/>
      <c r="P120" s="253">
        <f t="shared" si="10"/>
      </c>
      <c r="Q120" s="254">
        <f t="shared" si="11"/>
      </c>
      <c r="R120"/>
      <c r="S120" s="1"/>
      <c r="T120"/>
      <c r="W120"/>
      <c r="X120"/>
      <c r="Z120"/>
    </row>
    <row r="121" spans="1:26" ht="12.75">
      <c r="A121" s="235">
        <f>IF(ISNUMBER('Data Entry'!$Q100),'Data Entry'!A100,"")</f>
      </c>
      <c r="B121" s="234">
        <f>IF(ISNUMBER('Data Entry'!$Q100),IF($B$3='Data Entry'!$B$8,'Data Entry'!L100,IF(AND($B$3=0,'Data Entry'!$B$8=1),'Data Entry'!L100/'Data Entry'!$B$9,IF(AND($B$3=1,'Data Entry'!$B$8=0),'Data Entry'!L100*'Data Entry'!$B$9,"Conversion Error"))),"")</f>
      </c>
      <c r="C121" s="234">
        <f>IF(ISNUMBER('Data Entry'!$Q100),IF(ISNUMBER('Data Entry'!$M100),'Data Entry'!$M100,IF(ISNUMBER('Data Entry'!$N100),'Data Entry'!$N100,"Error")),"")</f>
      </c>
      <c r="D121" s="236">
        <f>IF('Data Entry'!$Q100="","",IF(ISERROR($B121*COS(((360-$B$6)-$C121+90)*PI()/180)),"Error",$B121*COS(((360-$B$6)-$C121+90)*PI()/180)))</f>
      </c>
      <c r="E121" s="237">
        <f>IF('Data Entry'!$Q100="","",IF(ISERROR($B121*SIN(((360-$B$6)-$C121+90)*PI()/180)),"Error",$B121*SIN(((360-$B$6)-$C121+90)*PI()/180)))</f>
      </c>
      <c r="F121" s="234">
        <f t="shared" si="14"/>
      </c>
      <c r="G121" s="234">
        <f t="shared" si="14"/>
      </c>
      <c r="H121" s="83"/>
      <c r="I121" s="245">
        <f t="shared" si="12"/>
      </c>
      <c r="J121" s="245">
        <f t="shared" si="13"/>
      </c>
      <c r="K121" s="188">
        <f t="shared" si="15"/>
      </c>
      <c r="L121" s="187">
        <f t="shared" si="16"/>
      </c>
      <c r="M121" s="245">
        <f t="shared" si="17"/>
      </c>
      <c r="N121" s="245">
        <f t="shared" si="18"/>
      </c>
      <c r="O121" s="83"/>
      <c r="P121" s="253">
        <f t="shared" si="10"/>
      </c>
      <c r="Q121" s="254">
        <f t="shared" si="11"/>
      </c>
      <c r="R121"/>
      <c r="S121" s="1"/>
      <c r="T121"/>
      <c r="W121"/>
      <c r="X121"/>
      <c r="Z121"/>
    </row>
    <row r="122" spans="1:26" ht="12.75">
      <c r="A122" s="235">
        <f>IF(ISNUMBER('Data Entry'!$Q101),'Data Entry'!A101,"")</f>
      </c>
      <c r="B122" s="234">
        <f>IF(ISNUMBER('Data Entry'!$Q101),IF($B$3='Data Entry'!$B$8,'Data Entry'!L101,IF(AND($B$3=0,'Data Entry'!$B$8=1),'Data Entry'!L101/'Data Entry'!$B$9,IF(AND($B$3=1,'Data Entry'!$B$8=0),'Data Entry'!L101*'Data Entry'!$B$9,"Conversion Error"))),"")</f>
      </c>
      <c r="C122" s="234">
        <f>IF(ISNUMBER('Data Entry'!$Q101),IF(ISNUMBER('Data Entry'!$M101),'Data Entry'!$M101,IF(ISNUMBER('Data Entry'!$N101),'Data Entry'!$N101,"Error")),"")</f>
      </c>
      <c r="D122" s="236">
        <f>IF('Data Entry'!$Q101="","",IF(ISERROR($B122*COS(((360-$B$6)-$C122+90)*PI()/180)),"Error",$B122*COS(((360-$B$6)-$C122+90)*PI()/180)))</f>
      </c>
      <c r="E122" s="237">
        <f>IF('Data Entry'!$Q101="","",IF(ISERROR($B122*SIN(((360-$B$6)-$C122+90)*PI()/180)),"Error",$B122*SIN(((360-$B$6)-$C122+90)*PI()/180)))</f>
      </c>
      <c r="F122" s="234">
        <f t="shared" si="14"/>
      </c>
      <c r="G122" s="234">
        <f t="shared" si="14"/>
      </c>
      <c r="H122" s="83"/>
      <c r="I122" s="245">
        <f t="shared" si="12"/>
      </c>
      <c r="J122" s="245">
        <f t="shared" si="13"/>
      </c>
      <c r="K122" s="188">
        <f t="shared" si="15"/>
      </c>
      <c r="L122" s="187">
        <f t="shared" si="16"/>
      </c>
      <c r="M122" s="245">
        <f t="shared" si="17"/>
      </c>
      <c r="N122" s="245">
        <f t="shared" si="18"/>
      </c>
      <c r="O122" s="83"/>
      <c r="P122" s="253">
        <f t="shared" si="10"/>
      </c>
      <c r="Q122" s="254">
        <f t="shared" si="11"/>
      </c>
      <c r="R122"/>
      <c r="S122" s="1"/>
      <c r="T122"/>
      <c r="W122"/>
      <c r="X122"/>
      <c r="Z122"/>
    </row>
    <row r="123" spans="1:26" ht="12.75">
      <c r="A123" s="235">
        <f>IF(ISNUMBER('Data Entry'!$Q102),'Data Entry'!A102,"")</f>
      </c>
      <c r="B123" s="234">
        <f>IF(ISNUMBER('Data Entry'!$Q102),IF($B$3='Data Entry'!$B$8,'Data Entry'!L102,IF(AND($B$3=0,'Data Entry'!$B$8=1),'Data Entry'!L102/'Data Entry'!$B$9,IF(AND($B$3=1,'Data Entry'!$B$8=0),'Data Entry'!L102*'Data Entry'!$B$9,"Conversion Error"))),"")</f>
      </c>
      <c r="C123" s="234">
        <f>IF(ISNUMBER('Data Entry'!$Q102),IF(ISNUMBER('Data Entry'!$M102),'Data Entry'!$M102,IF(ISNUMBER('Data Entry'!$N102),'Data Entry'!$N102,"Error")),"")</f>
      </c>
      <c r="D123" s="236">
        <f>IF('Data Entry'!$Q102="","",IF(ISERROR($B123*COS(((360-$B$6)-$C123+90)*PI()/180)),"Error",$B123*COS(((360-$B$6)-$C123+90)*PI()/180)))</f>
      </c>
      <c r="E123" s="237">
        <f>IF('Data Entry'!$Q102="","",IF(ISERROR($B123*SIN(((360-$B$6)-$C123+90)*PI()/180)),"Error",$B123*SIN(((360-$B$6)-$C123+90)*PI()/180)))</f>
      </c>
      <c r="F123" s="234">
        <f t="shared" si="14"/>
      </c>
      <c r="G123" s="234">
        <f t="shared" si="14"/>
      </c>
      <c r="H123" s="83"/>
      <c r="I123" s="245">
        <f t="shared" si="12"/>
      </c>
      <c r="J123" s="245">
        <f t="shared" si="13"/>
      </c>
      <c r="K123" s="188">
        <f t="shared" si="15"/>
      </c>
      <c r="L123" s="187">
        <f t="shared" si="16"/>
      </c>
      <c r="M123" s="245">
        <f t="shared" si="17"/>
      </c>
      <c r="N123" s="245">
        <f t="shared" si="18"/>
      </c>
      <c r="O123" s="83"/>
      <c r="P123" s="253">
        <f t="shared" si="10"/>
      </c>
      <c r="Q123" s="254">
        <f t="shared" si="11"/>
      </c>
      <c r="R123"/>
      <c r="S123" s="1"/>
      <c r="T123"/>
      <c r="W123"/>
      <c r="X123"/>
      <c r="Z123"/>
    </row>
    <row r="124" spans="1:26" ht="12.75">
      <c r="A124" s="235">
        <f>IF(ISNUMBER('Data Entry'!$Q103),'Data Entry'!A103,"")</f>
      </c>
      <c r="B124" s="234">
        <f>IF(ISNUMBER('Data Entry'!$Q103),IF($B$3='Data Entry'!$B$8,'Data Entry'!L103,IF(AND($B$3=0,'Data Entry'!$B$8=1),'Data Entry'!L103/'Data Entry'!$B$9,IF(AND($B$3=1,'Data Entry'!$B$8=0),'Data Entry'!L103*'Data Entry'!$B$9,"Conversion Error"))),"")</f>
      </c>
      <c r="C124" s="234">
        <f>IF(ISNUMBER('Data Entry'!$Q103),IF(ISNUMBER('Data Entry'!$M103),'Data Entry'!$M103,IF(ISNUMBER('Data Entry'!$N103),'Data Entry'!$N103,"Error")),"")</f>
      </c>
      <c r="D124" s="236">
        <f>IF('Data Entry'!$Q103="","",IF(ISERROR($B124*COS(((360-$B$6)-$C124+90)*PI()/180)),"Error",$B124*COS(((360-$B$6)-$C124+90)*PI()/180)))</f>
      </c>
      <c r="E124" s="237">
        <f>IF('Data Entry'!$Q103="","",IF(ISERROR($B124*SIN(((360-$B$6)-$C124+90)*PI()/180)),"Error",$B124*SIN(((360-$B$6)-$C124+90)*PI()/180)))</f>
      </c>
      <c r="F124" s="234">
        <f t="shared" si="14"/>
      </c>
      <c r="G124" s="234">
        <f t="shared" si="14"/>
      </c>
      <c r="H124" s="83"/>
      <c r="I124" s="245">
        <f t="shared" si="12"/>
      </c>
      <c r="J124" s="245">
        <f t="shared" si="13"/>
      </c>
      <c r="K124" s="188">
        <f t="shared" si="15"/>
      </c>
      <c r="L124" s="187">
        <f t="shared" si="16"/>
      </c>
      <c r="M124" s="245">
        <f t="shared" si="17"/>
      </c>
      <c r="N124" s="245">
        <f t="shared" si="18"/>
      </c>
      <c r="O124" s="83"/>
      <c r="P124" s="253">
        <f t="shared" si="10"/>
      </c>
      <c r="Q124" s="254">
        <f t="shared" si="11"/>
      </c>
      <c r="R124"/>
      <c r="S124" s="1"/>
      <c r="T124"/>
      <c r="W124"/>
      <c r="X124"/>
      <c r="Z124"/>
    </row>
    <row r="125" spans="1:26" ht="12.75">
      <c r="A125" s="235">
        <f>IF(ISNUMBER('Data Entry'!$Q104),'Data Entry'!A104,"")</f>
      </c>
      <c r="B125" s="234">
        <f>IF(ISNUMBER('Data Entry'!$Q104),IF($B$3='Data Entry'!$B$8,'Data Entry'!L104,IF(AND($B$3=0,'Data Entry'!$B$8=1),'Data Entry'!L104/'Data Entry'!$B$9,IF(AND($B$3=1,'Data Entry'!$B$8=0),'Data Entry'!L104*'Data Entry'!$B$9,"Conversion Error"))),"")</f>
      </c>
      <c r="C125" s="234">
        <f>IF(ISNUMBER('Data Entry'!$Q104),IF(ISNUMBER('Data Entry'!$M104),'Data Entry'!$M104,IF(ISNUMBER('Data Entry'!$N104),'Data Entry'!$N104,"Error")),"")</f>
      </c>
      <c r="D125" s="236">
        <f>IF('Data Entry'!$Q104="","",IF(ISERROR($B125*COS(((360-$B$6)-$C125+90)*PI()/180)),"Error",$B125*COS(((360-$B$6)-$C125+90)*PI()/180)))</f>
      </c>
      <c r="E125" s="237">
        <f>IF('Data Entry'!$Q104="","",IF(ISERROR($B125*SIN(((360-$B$6)-$C125+90)*PI()/180)),"Error",$B125*SIN(((360-$B$6)-$C125+90)*PI()/180)))</f>
      </c>
      <c r="F125" s="234">
        <f t="shared" si="14"/>
      </c>
      <c r="G125" s="234">
        <f t="shared" si="14"/>
      </c>
      <c r="H125" s="83"/>
      <c r="I125" s="245">
        <f t="shared" si="12"/>
      </c>
      <c r="J125" s="245">
        <f t="shared" si="13"/>
      </c>
      <c r="K125" s="188">
        <f t="shared" si="15"/>
      </c>
      <c r="L125" s="187">
        <f t="shared" si="16"/>
      </c>
      <c r="M125" s="245">
        <f t="shared" si="17"/>
      </c>
      <c r="N125" s="245">
        <f t="shared" si="18"/>
      </c>
      <c r="O125" s="83"/>
      <c r="P125" s="253">
        <f t="shared" si="10"/>
      </c>
      <c r="Q125" s="254">
        <f t="shared" si="11"/>
      </c>
      <c r="R125"/>
      <c r="S125" s="1"/>
      <c r="T125"/>
      <c r="W125"/>
      <c r="X125"/>
      <c r="Z125"/>
    </row>
    <row r="126" spans="1:26" ht="12.75">
      <c r="A126" s="235">
        <f>IF(ISNUMBER('Data Entry'!$Q105),'Data Entry'!A105,"")</f>
      </c>
      <c r="B126" s="234">
        <f>IF(ISNUMBER('Data Entry'!$Q105),IF($B$3='Data Entry'!$B$8,'Data Entry'!L105,IF(AND($B$3=0,'Data Entry'!$B$8=1),'Data Entry'!L105/'Data Entry'!$B$9,IF(AND($B$3=1,'Data Entry'!$B$8=0),'Data Entry'!L105*'Data Entry'!$B$9,"Conversion Error"))),"")</f>
      </c>
      <c r="C126" s="234">
        <f>IF(ISNUMBER('Data Entry'!$Q105),IF(ISNUMBER('Data Entry'!$M105),'Data Entry'!$M105,IF(ISNUMBER('Data Entry'!$N105),'Data Entry'!$N105,"Error")),"")</f>
      </c>
      <c r="D126" s="236">
        <f>IF('Data Entry'!$Q105="","",IF(ISERROR($B126*COS(((360-$B$6)-$C126+90)*PI()/180)),"Error",$B126*COS(((360-$B$6)-$C126+90)*PI()/180)))</f>
      </c>
      <c r="E126" s="237">
        <f>IF('Data Entry'!$Q105="","",IF(ISERROR($B126*SIN(((360-$B$6)-$C126+90)*PI()/180)),"Error",$B126*SIN(((360-$B$6)-$C126+90)*PI()/180)))</f>
      </c>
      <c r="F126" s="234">
        <f t="shared" si="14"/>
      </c>
      <c r="G126" s="234">
        <f t="shared" si="14"/>
      </c>
      <c r="H126" s="83"/>
      <c r="I126" s="245">
        <f t="shared" si="12"/>
      </c>
      <c r="J126" s="245">
        <f t="shared" si="13"/>
      </c>
      <c r="K126" s="188">
        <f t="shared" si="15"/>
      </c>
      <c r="L126" s="187">
        <f t="shared" si="16"/>
      </c>
      <c r="M126" s="245">
        <f t="shared" si="17"/>
      </c>
      <c r="N126" s="245">
        <f t="shared" si="18"/>
      </c>
      <c r="O126" s="83"/>
      <c r="P126" s="253">
        <f t="shared" si="10"/>
      </c>
      <c r="Q126" s="254">
        <f t="shared" si="11"/>
      </c>
      <c r="R126"/>
      <c r="S126" s="1"/>
      <c r="T126"/>
      <c r="W126"/>
      <c r="X126"/>
      <c r="Z126"/>
    </row>
    <row r="127" spans="1:26" ht="12.75">
      <c r="A127" s="235">
        <f>IF(ISNUMBER('Data Entry'!$Q106),'Data Entry'!A106,"")</f>
      </c>
      <c r="B127" s="234">
        <f>IF(ISNUMBER('Data Entry'!$Q106),IF($B$3='Data Entry'!$B$8,'Data Entry'!L106,IF(AND($B$3=0,'Data Entry'!$B$8=1),'Data Entry'!L106/'Data Entry'!$B$9,IF(AND($B$3=1,'Data Entry'!$B$8=0),'Data Entry'!L106*'Data Entry'!$B$9,"Conversion Error"))),"")</f>
      </c>
      <c r="C127" s="234">
        <f>IF(ISNUMBER('Data Entry'!$Q106),IF(ISNUMBER('Data Entry'!$M106),'Data Entry'!$M106,IF(ISNUMBER('Data Entry'!$N106),'Data Entry'!$N106,"Error")),"")</f>
      </c>
      <c r="D127" s="236">
        <f>IF('Data Entry'!$Q106="","",IF(ISERROR($B127*COS(((360-$B$6)-$C127+90)*PI()/180)),"Error",$B127*COS(((360-$B$6)-$C127+90)*PI()/180)))</f>
      </c>
      <c r="E127" s="237">
        <f>IF('Data Entry'!$Q106="","",IF(ISERROR($B127*SIN(((360-$B$6)-$C127+90)*PI()/180)),"Error",$B127*SIN(((360-$B$6)-$C127+90)*PI()/180)))</f>
      </c>
      <c r="F127" s="234">
        <f t="shared" si="14"/>
      </c>
      <c r="G127" s="234">
        <f t="shared" si="14"/>
      </c>
      <c r="H127" s="83"/>
      <c r="I127" s="245">
        <f t="shared" si="12"/>
      </c>
      <c r="J127" s="245">
        <f t="shared" si="13"/>
      </c>
      <c r="K127" s="188">
        <f t="shared" si="15"/>
      </c>
      <c r="L127" s="187">
        <f t="shared" si="16"/>
      </c>
      <c r="M127" s="245">
        <f t="shared" si="17"/>
      </c>
      <c r="N127" s="245">
        <f t="shared" si="18"/>
      </c>
      <c r="O127" s="83"/>
      <c r="P127" s="253">
        <f t="shared" si="10"/>
      </c>
      <c r="Q127" s="254">
        <f t="shared" si="11"/>
      </c>
      <c r="R127"/>
      <c r="S127" s="1"/>
      <c r="T127"/>
      <c r="W127"/>
      <c r="X127"/>
      <c r="Z127"/>
    </row>
    <row r="128" spans="1:26" ht="12.75">
      <c r="A128" s="235">
        <f>IF(ISNUMBER('Data Entry'!$Q107),'Data Entry'!A107,"")</f>
      </c>
      <c r="B128" s="234">
        <f>IF(ISNUMBER('Data Entry'!$Q107),IF($B$3='Data Entry'!$B$8,'Data Entry'!L107,IF(AND($B$3=0,'Data Entry'!$B$8=1),'Data Entry'!L107/'Data Entry'!$B$9,IF(AND($B$3=1,'Data Entry'!$B$8=0),'Data Entry'!L107*'Data Entry'!$B$9,"Conversion Error"))),"")</f>
      </c>
      <c r="C128" s="234">
        <f>IF(ISNUMBER('Data Entry'!$Q107),IF(ISNUMBER('Data Entry'!$M107),'Data Entry'!$M107,IF(ISNUMBER('Data Entry'!$N107),'Data Entry'!$N107,"Error")),"")</f>
      </c>
      <c r="D128" s="236">
        <f>IF('Data Entry'!$Q107="","",IF(ISERROR($B128*COS(((360-$B$6)-$C128+90)*PI()/180)),"Error",$B128*COS(((360-$B$6)-$C128+90)*PI()/180)))</f>
      </c>
      <c r="E128" s="237">
        <f>IF('Data Entry'!$Q107="","",IF(ISERROR($B128*SIN(((360-$B$6)-$C128+90)*PI()/180)),"Error",$B128*SIN(((360-$B$6)-$C128+90)*PI()/180)))</f>
      </c>
      <c r="F128" s="234">
        <f t="shared" si="14"/>
      </c>
      <c r="G128" s="234">
        <f t="shared" si="14"/>
      </c>
      <c r="H128" s="83"/>
      <c r="I128" s="245">
        <f t="shared" si="12"/>
      </c>
      <c r="J128" s="245">
        <f t="shared" si="13"/>
      </c>
      <c r="K128" s="188">
        <f t="shared" si="15"/>
      </c>
      <c r="L128" s="187">
        <f t="shared" si="16"/>
      </c>
      <c r="M128" s="245">
        <f t="shared" si="17"/>
      </c>
      <c r="N128" s="245">
        <f t="shared" si="18"/>
      </c>
      <c r="O128" s="83"/>
      <c r="P128" s="253">
        <f t="shared" si="10"/>
      </c>
      <c r="Q128" s="254">
        <f t="shared" si="11"/>
      </c>
      <c r="R128"/>
      <c r="S128" s="1"/>
      <c r="T128"/>
      <c r="W128"/>
      <c r="X128"/>
      <c r="Z128"/>
    </row>
    <row r="129" spans="1:26" ht="12.75">
      <c r="A129" s="235">
        <f>IF(ISNUMBER('Data Entry'!$Q108),'Data Entry'!A108,"")</f>
      </c>
      <c r="B129" s="234">
        <f>IF(ISNUMBER('Data Entry'!$Q108),IF($B$3='Data Entry'!$B$8,'Data Entry'!L108,IF(AND($B$3=0,'Data Entry'!$B$8=1),'Data Entry'!L108/'Data Entry'!$B$9,IF(AND($B$3=1,'Data Entry'!$B$8=0),'Data Entry'!L108*'Data Entry'!$B$9,"Conversion Error"))),"")</f>
      </c>
      <c r="C129" s="234">
        <f>IF(ISNUMBER('Data Entry'!$Q108),IF(ISNUMBER('Data Entry'!$M108),'Data Entry'!$M108,IF(ISNUMBER('Data Entry'!$N108),'Data Entry'!$N108,"Error")),"")</f>
      </c>
      <c r="D129" s="236">
        <f>IF('Data Entry'!$Q108="","",IF(ISERROR($B129*COS(((360-$B$6)-$C129+90)*PI()/180)),"Error",$B129*COS(((360-$B$6)-$C129+90)*PI()/180)))</f>
      </c>
      <c r="E129" s="237">
        <f>IF('Data Entry'!$Q108="","",IF(ISERROR($B129*SIN(((360-$B$6)-$C129+90)*PI()/180)),"Error",$B129*SIN(((360-$B$6)-$C129+90)*PI()/180)))</f>
      </c>
      <c r="F129" s="234">
        <f t="shared" si="14"/>
      </c>
      <c r="G129" s="234">
        <f t="shared" si="14"/>
      </c>
      <c r="H129" s="83"/>
      <c r="I129" s="245">
        <f t="shared" si="12"/>
      </c>
      <c r="J129" s="245">
        <f t="shared" si="13"/>
      </c>
      <c r="K129" s="188">
        <f t="shared" si="15"/>
      </c>
      <c r="L129" s="187">
        <f t="shared" si="16"/>
      </c>
      <c r="M129" s="245">
        <f t="shared" si="17"/>
      </c>
      <c r="N129" s="245">
        <f t="shared" si="18"/>
      </c>
      <c r="O129" s="83"/>
      <c r="P129" s="253">
        <f t="shared" si="10"/>
      </c>
      <c r="Q129" s="254">
        <f t="shared" si="11"/>
      </c>
      <c r="R129"/>
      <c r="S129" s="1"/>
      <c r="T129"/>
      <c r="W129"/>
      <c r="X129"/>
      <c r="Z129"/>
    </row>
    <row r="130" spans="1:26" ht="12.75">
      <c r="A130" s="235">
        <f>IF(ISNUMBER('Data Entry'!$Q109),'Data Entry'!A109,"")</f>
      </c>
      <c r="B130" s="234">
        <f>IF(ISNUMBER('Data Entry'!$Q109),IF($B$3='Data Entry'!$B$8,'Data Entry'!L109,IF(AND($B$3=0,'Data Entry'!$B$8=1),'Data Entry'!L109/'Data Entry'!$B$9,IF(AND($B$3=1,'Data Entry'!$B$8=0),'Data Entry'!L109*'Data Entry'!$B$9,"Conversion Error"))),"")</f>
      </c>
      <c r="C130" s="234">
        <f>IF(ISNUMBER('Data Entry'!$Q109),IF(ISNUMBER('Data Entry'!$M109),'Data Entry'!$M109,IF(ISNUMBER('Data Entry'!$N109),'Data Entry'!$N109,"Error")),"")</f>
      </c>
      <c r="D130" s="236">
        <f>IF('Data Entry'!$Q109="","",IF(ISERROR($B130*COS(((360-$B$6)-$C130+90)*PI()/180)),"Error",$B130*COS(((360-$B$6)-$C130+90)*PI()/180)))</f>
      </c>
      <c r="E130" s="237">
        <f>IF('Data Entry'!$Q109="","",IF(ISERROR($B130*SIN(((360-$B$6)-$C130+90)*PI()/180)),"Error",$B130*SIN(((360-$B$6)-$C130+90)*PI()/180)))</f>
      </c>
      <c r="F130" s="234">
        <f t="shared" si="14"/>
      </c>
      <c r="G130" s="234">
        <f t="shared" si="14"/>
      </c>
      <c r="H130" s="83"/>
      <c r="I130" s="245">
        <f t="shared" si="12"/>
      </c>
      <c r="J130" s="245">
        <f t="shared" si="13"/>
      </c>
      <c r="K130" s="188">
        <f t="shared" si="15"/>
      </c>
      <c r="L130" s="187">
        <f t="shared" si="16"/>
      </c>
      <c r="M130" s="245">
        <f t="shared" si="17"/>
      </c>
      <c r="N130" s="245">
        <f t="shared" si="18"/>
      </c>
      <c r="O130" s="83"/>
      <c r="P130" s="253">
        <f t="shared" si="10"/>
      </c>
      <c r="Q130" s="254">
        <f t="shared" si="11"/>
      </c>
      <c r="R130"/>
      <c r="S130" s="1"/>
      <c r="T130"/>
      <c r="W130"/>
      <c r="X130"/>
      <c r="Z130"/>
    </row>
    <row r="131" spans="1:26" ht="12.75">
      <c r="A131" s="235">
        <f>IF(ISNUMBER('Data Entry'!$Q110),'Data Entry'!A110,"")</f>
      </c>
      <c r="B131" s="234">
        <f>IF(ISNUMBER('Data Entry'!$Q110),IF($B$3='Data Entry'!$B$8,'Data Entry'!L110,IF(AND($B$3=0,'Data Entry'!$B$8=1),'Data Entry'!L110/'Data Entry'!$B$9,IF(AND($B$3=1,'Data Entry'!$B$8=0),'Data Entry'!L110*'Data Entry'!$B$9,"Conversion Error"))),"")</f>
      </c>
      <c r="C131" s="234">
        <f>IF(ISNUMBER('Data Entry'!$Q110),IF(ISNUMBER('Data Entry'!$M110),'Data Entry'!$M110,IF(ISNUMBER('Data Entry'!$N110),'Data Entry'!$N110,"Error")),"")</f>
      </c>
      <c r="D131" s="236">
        <f>IF('Data Entry'!$Q110="","",IF(ISERROR($B131*COS(((360-$B$6)-$C131+90)*PI()/180)),"Error",$B131*COS(((360-$B$6)-$C131+90)*PI()/180)))</f>
      </c>
      <c r="E131" s="237">
        <f>IF('Data Entry'!$Q110="","",IF(ISERROR($B131*SIN(((360-$B$6)-$C131+90)*PI()/180)),"Error",$B131*SIN(((360-$B$6)-$C131+90)*PI()/180)))</f>
      </c>
      <c r="F131" s="234">
        <f t="shared" si="14"/>
      </c>
      <c r="G131" s="234">
        <f t="shared" si="14"/>
      </c>
      <c r="H131" s="83"/>
      <c r="I131" s="245">
        <f t="shared" si="12"/>
      </c>
      <c r="J131" s="245">
        <f t="shared" si="13"/>
      </c>
      <c r="K131" s="188">
        <f t="shared" si="15"/>
      </c>
      <c r="L131" s="187">
        <f t="shared" si="16"/>
      </c>
      <c r="M131" s="245">
        <f t="shared" si="17"/>
      </c>
      <c r="N131" s="245">
        <f t="shared" si="18"/>
      </c>
      <c r="O131" s="83"/>
      <c r="P131" s="253">
        <f t="shared" si="10"/>
      </c>
      <c r="Q131" s="254">
        <f t="shared" si="11"/>
      </c>
      <c r="R131"/>
      <c r="S131" s="1"/>
      <c r="T131"/>
      <c r="W131"/>
      <c r="X131"/>
      <c r="Z131"/>
    </row>
    <row r="132" spans="1:26" ht="12.75">
      <c r="A132" s="235">
        <f>IF(ISNUMBER('Data Entry'!$Q111),'Data Entry'!A111,"")</f>
      </c>
      <c r="B132" s="234">
        <f>IF(ISNUMBER('Data Entry'!$Q111),IF($B$3='Data Entry'!$B$8,'Data Entry'!L111,IF(AND($B$3=0,'Data Entry'!$B$8=1),'Data Entry'!L111/'Data Entry'!$B$9,IF(AND($B$3=1,'Data Entry'!$B$8=0),'Data Entry'!L111*'Data Entry'!$B$9,"Conversion Error"))),"")</f>
      </c>
      <c r="C132" s="234">
        <f>IF(ISNUMBER('Data Entry'!$Q111),IF(ISNUMBER('Data Entry'!$M111),'Data Entry'!$M111,IF(ISNUMBER('Data Entry'!$N111),'Data Entry'!$N111,"Error")),"")</f>
      </c>
      <c r="D132" s="236">
        <f>IF('Data Entry'!$Q111="","",IF(ISERROR($B132*COS(((360-$B$6)-$C132+90)*PI()/180)),"Error",$B132*COS(((360-$B$6)-$C132+90)*PI()/180)))</f>
      </c>
      <c r="E132" s="237">
        <f>IF('Data Entry'!$Q111="","",IF(ISERROR($B132*SIN(((360-$B$6)-$C132+90)*PI()/180)),"Error",$B132*SIN(((360-$B$6)-$C132+90)*PI()/180)))</f>
      </c>
      <c r="F132" s="234">
        <f t="shared" si="14"/>
      </c>
      <c r="G132" s="234">
        <f t="shared" si="14"/>
      </c>
      <c r="H132" s="83"/>
      <c r="I132" s="245">
        <f t="shared" si="12"/>
      </c>
      <c r="J132" s="245">
        <f t="shared" si="13"/>
      </c>
      <c r="K132" s="188">
        <f t="shared" si="15"/>
      </c>
      <c r="L132" s="187">
        <f t="shared" si="16"/>
      </c>
      <c r="M132" s="245">
        <f t="shared" si="17"/>
      </c>
      <c r="N132" s="245">
        <f t="shared" si="18"/>
      </c>
      <c r="O132" s="83"/>
      <c r="P132" s="253">
        <f t="shared" si="10"/>
      </c>
      <c r="Q132" s="254">
        <f t="shared" si="11"/>
      </c>
      <c r="R132"/>
      <c r="S132" s="1"/>
      <c r="T132"/>
      <c r="W132"/>
      <c r="X132"/>
      <c r="Z132"/>
    </row>
    <row r="133" spans="1:26" ht="12.75">
      <c r="A133" s="235">
        <f>IF(ISNUMBER('Data Entry'!$Q112),'Data Entry'!A112,"")</f>
      </c>
      <c r="B133" s="234">
        <f>IF(ISNUMBER('Data Entry'!$Q112),IF($B$3='Data Entry'!$B$8,'Data Entry'!L112,IF(AND($B$3=0,'Data Entry'!$B$8=1),'Data Entry'!L112/'Data Entry'!$B$9,IF(AND($B$3=1,'Data Entry'!$B$8=0),'Data Entry'!L112*'Data Entry'!$B$9,"Conversion Error"))),"")</f>
      </c>
      <c r="C133" s="234">
        <f>IF(ISNUMBER('Data Entry'!$Q112),IF(ISNUMBER('Data Entry'!$M112),'Data Entry'!$M112,IF(ISNUMBER('Data Entry'!$N112),'Data Entry'!$N112,"Error")),"")</f>
      </c>
      <c r="D133" s="236">
        <f>IF('Data Entry'!$Q112="","",IF(ISERROR($B133*COS(((360-$B$6)-$C133+90)*PI()/180)),"Error",$B133*COS(((360-$B$6)-$C133+90)*PI()/180)))</f>
      </c>
      <c r="E133" s="237">
        <f>IF('Data Entry'!$Q112="","",IF(ISERROR($B133*SIN(((360-$B$6)-$C133+90)*PI()/180)),"Error",$B133*SIN(((360-$B$6)-$C133+90)*PI()/180)))</f>
      </c>
      <c r="F133" s="234">
        <f t="shared" si="14"/>
      </c>
      <c r="G133" s="234">
        <f t="shared" si="14"/>
      </c>
      <c r="H133" s="83"/>
      <c r="I133" s="245">
        <f t="shared" si="12"/>
      </c>
      <c r="J133" s="245">
        <f t="shared" si="13"/>
      </c>
      <c r="K133" s="188">
        <f t="shared" si="15"/>
      </c>
      <c r="L133" s="187">
        <f t="shared" si="16"/>
      </c>
      <c r="M133" s="245">
        <f t="shared" si="17"/>
      </c>
      <c r="N133" s="245">
        <f t="shared" si="18"/>
      </c>
      <c r="O133" s="83"/>
      <c r="P133" s="253">
        <f t="shared" si="10"/>
      </c>
      <c r="Q133" s="254">
        <f t="shared" si="11"/>
      </c>
      <c r="R133"/>
      <c r="S133" s="1"/>
      <c r="T133"/>
      <c r="W133"/>
      <c r="X133"/>
      <c r="Z133"/>
    </row>
    <row r="134" spans="1:26" ht="12.75">
      <c r="A134" s="235">
        <f>IF(ISNUMBER('Data Entry'!$Q113),'Data Entry'!A113,"")</f>
      </c>
      <c r="B134" s="234">
        <f>IF(ISNUMBER('Data Entry'!$Q113),IF($B$3='Data Entry'!$B$8,'Data Entry'!L113,IF(AND($B$3=0,'Data Entry'!$B$8=1),'Data Entry'!L113/'Data Entry'!$B$9,IF(AND($B$3=1,'Data Entry'!$B$8=0),'Data Entry'!L113*'Data Entry'!$B$9,"Conversion Error"))),"")</f>
      </c>
      <c r="C134" s="234">
        <f>IF(ISNUMBER('Data Entry'!$Q113),IF(ISNUMBER('Data Entry'!$M113),'Data Entry'!$M113,IF(ISNUMBER('Data Entry'!$N113),'Data Entry'!$N113,"Error")),"")</f>
      </c>
      <c r="D134" s="236">
        <f>IF('Data Entry'!$Q113="","",IF(ISERROR($B134*COS(((360-$B$6)-$C134+90)*PI()/180)),"Error",$B134*COS(((360-$B$6)-$C134+90)*PI()/180)))</f>
      </c>
      <c r="E134" s="237">
        <f>IF('Data Entry'!$Q113="","",IF(ISERROR($B134*SIN(((360-$B$6)-$C134+90)*PI()/180)),"Error",$B134*SIN(((360-$B$6)-$C134+90)*PI()/180)))</f>
      </c>
      <c r="F134" s="234">
        <f t="shared" si="14"/>
      </c>
      <c r="G134" s="234">
        <f t="shared" si="14"/>
      </c>
      <c r="H134" s="83"/>
      <c r="I134" s="245">
        <f t="shared" si="12"/>
      </c>
      <c r="J134" s="245">
        <f>IF(K134="","",IF(AND($K134&gt;0,$L134&gt;0),(360-ATAN($L134/$K134)*180/PI()+360-$B$6+90)-(360*(INT((360-ATAN($L134/$K134)*180/PI()+360-$B$6+90)/360))),(IF(AND($K134&gt;0,$L134&lt;0),(0-ATAN($L134/$K134)*180/PI()+360-$B$6+90)-(360*(INT((0-ATAN($L134/$K134)*180/PI()+360-$B$6+90)/360))),(IF(AND($K134&lt;0,$L134&lt;0),(180-ATAN($L134/$K134)*180/PI()+360-$B$6+90)-(360*(INT((180-ATAN($L134/$K134)*180/PI()+360-$B$6+90)/360))),(180-ATAN($L134/$K134)*180/PI()+360-$B$6+90)-(360*(INT((180-ATAN($L134/$K134)*180/PI()+360-$B$6+90)/360)))))))))</f>
      </c>
      <c r="K134" s="188">
        <f t="shared" si="15"/>
      </c>
      <c r="L134" s="187">
        <f t="shared" si="16"/>
      </c>
      <c r="M134" s="245">
        <f t="shared" si="17"/>
      </c>
      <c r="N134" s="245">
        <f t="shared" si="18"/>
      </c>
      <c r="O134" s="83"/>
      <c r="P134" s="253">
        <f t="shared" si="10"/>
      </c>
      <c r="Q134" s="254">
        <f t="shared" si="11"/>
      </c>
      <c r="R134"/>
      <c r="S134" s="1"/>
      <c r="T134"/>
      <c r="W134"/>
      <c r="X134"/>
      <c r="Z134"/>
    </row>
    <row r="135" spans="1:26" ht="12.75">
      <c r="A135" s="235">
        <f>IF(ISNUMBER('Data Entry'!$Q114),'Data Entry'!A114,"")</f>
      </c>
      <c r="B135" s="234">
        <f>IF(ISNUMBER('Data Entry'!$Q114),IF($B$3='Data Entry'!$B$8,'Data Entry'!L114,IF(AND($B$3=0,'Data Entry'!$B$8=1),'Data Entry'!L114/'Data Entry'!$B$9,IF(AND($B$3=1,'Data Entry'!$B$8=0),'Data Entry'!L114*'Data Entry'!$B$9,"Conversion Error"))),"")</f>
      </c>
      <c r="C135" s="234">
        <f>IF(ISNUMBER('Data Entry'!$Q114),IF(ISNUMBER('Data Entry'!$M114),'Data Entry'!$M114,IF(ISNUMBER('Data Entry'!$N114),'Data Entry'!$N114,"Error")),"")</f>
      </c>
      <c r="D135" s="236">
        <f>IF('Data Entry'!$Q114="","",IF(ISERROR($B135*COS(((360-$B$6)-$C135+90)*PI()/180)),"Error",$B135*COS(((360-$B$6)-$C135+90)*PI()/180)))</f>
      </c>
      <c r="E135" s="237">
        <f>IF('Data Entry'!$Q114="","",IF(ISERROR($B135*SIN(((360-$B$6)-$C135+90)*PI()/180)),"Error",$B135*SIN(((360-$B$6)-$C135+90)*PI()/180)))</f>
      </c>
      <c r="F135" s="234">
        <f t="shared" si="14"/>
      </c>
      <c r="G135" s="234">
        <f t="shared" si="14"/>
      </c>
      <c r="H135" s="83"/>
      <c r="I135" s="245">
        <f t="shared" si="12"/>
      </c>
      <c r="J135" s="245">
        <f>IF(K135="","",IF(AND($K135&gt;0,$L135&gt;0),(360-ATAN($L135/$K135)*180/PI()+360-$B$6+90)-(360*(INT((360-ATAN($L135/$K135)*180/PI()+360-$B$6+90)/360))),(IF(AND($K135&gt;0,$L135&lt;0),(0-ATAN($L135/$K135)*180/PI()+360-$B$6+90)-(360*(INT((0-ATAN($L135/$K135)*180/PI()+360-$B$6+90)/360))),(IF(AND($K135&lt;0,$L135&lt;0),(180-ATAN($L135/$K135)*180/PI()+360-$B$6+90)-(360*(INT((180-ATAN($L135/$K135)*180/PI()+360-$B$6+90)/360))),(180-ATAN($L135/$K135)*180/PI()+360-$B$6+90)-(360*(INT((180-ATAN($L135/$K135)*180/PI()+360-$B$6+90)/360)))))))))</f>
      </c>
      <c r="K135" s="188">
        <f t="shared" si="15"/>
      </c>
      <c r="L135" s="187">
        <f t="shared" si="16"/>
      </c>
      <c r="M135" s="245">
        <f t="shared" si="17"/>
      </c>
      <c r="N135" s="245">
        <f t="shared" si="18"/>
      </c>
      <c r="O135" s="83"/>
      <c r="P135" s="253">
        <f t="shared" si="10"/>
      </c>
      <c r="Q135" s="254">
        <f t="shared" si="11"/>
      </c>
      <c r="R135"/>
      <c r="S135" s="1"/>
      <c r="T135"/>
      <c r="W135"/>
      <c r="X135"/>
      <c r="Z135"/>
    </row>
    <row r="136" spans="1:26" ht="12.75">
      <c r="A136" s="235">
        <f>IF(ISNUMBER('Data Entry'!$Q115),'Data Entry'!A115,"")</f>
      </c>
      <c r="B136" s="234">
        <f>IF(ISNUMBER('Data Entry'!$Q115),IF($B$3='Data Entry'!$B$8,'Data Entry'!L115,IF(AND($B$3=0,'Data Entry'!$B$8=1),'Data Entry'!L115/'Data Entry'!$B$9,IF(AND($B$3=1,'Data Entry'!$B$8=0),'Data Entry'!L115*'Data Entry'!$B$9,"Conversion Error"))),"")</f>
      </c>
      <c r="C136" s="234">
        <f>IF(ISNUMBER('Data Entry'!$Q115),IF(ISNUMBER('Data Entry'!$M115),'Data Entry'!$M115,IF(ISNUMBER('Data Entry'!$N115),'Data Entry'!$N115,"Error")),"")</f>
      </c>
      <c r="D136" s="236">
        <f>IF('Data Entry'!$Q115="","",IF(ISERROR($B136*COS(((360-$B$6)-$C136+90)*PI()/180)),"Error",$B136*COS(((360-$B$6)-$C136+90)*PI()/180)))</f>
      </c>
      <c r="E136" s="237">
        <f>IF('Data Entry'!$Q115="","",IF(ISERROR($B136*SIN(((360-$B$6)-$C136+90)*PI()/180)),"Error",$B136*SIN(((360-$B$6)-$C136+90)*PI()/180)))</f>
      </c>
      <c r="F136" s="234">
        <f t="shared" si="14"/>
      </c>
      <c r="G136" s="234">
        <f t="shared" si="14"/>
      </c>
      <c r="H136" s="83"/>
      <c r="I136" s="245">
        <f t="shared" si="12"/>
      </c>
      <c r="J136" s="245">
        <f>IF(K136="","",IF(AND($K136&gt;0,$L136&gt;0),(360-ATAN($L136/$K136)*180/PI()+360-$B$6+90)-(360*(INT((360-ATAN($L136/$K136)*180/PI()+360-$B$6+90)/360))),(IF(AND($K136&gt;0,$L136&lt;0),(0-ATAN($L136/$K136)*180/PI()+360-$B$6+90)-(360*(INT((0-ATAN($L136/$K136)*180/PI()+360-$B$6+90)/360))),(IF(AND($K136&lt;0,$L136&lt;0),(180-ATAN($L136/$K136)*180/PI()+360-$B$6+90)-(360*(INT((180-ATAN($L136/$K136)*180/PI()+360-$B$6+90)/360))),(180-ATAN($L136/$K136)*180/PI()+360-$B$6+90)-(360*(INT((180-ATAN($L136/$K136)*180/PI()+360-$B$6+90)/360)))))))))</f>
      </c>
      <c r="K136" s="188">
        <f t="shared" si="15"/>
      </c>
      <c r="L136" s="187">
        <f t="shared" si="16"/>
      </c>
      <c r="M136" s="245">
        <f t="shared" si="17"/>
      </c>
      <c r="N136" s="245">
        <f t="shared" si="18"/>
      </c>
      <c r="O136" s="83"/>
      <c r="P136" s="253">
        <f t="shared" si="10"/>
      </c>
      <c r="Q136" s="254">
        <f t="shared" si="11"/>
      </c>
      <c r="R136"/>
      <c r="S136" s="1"/>
      <c r="T136"/>
      <c r="W136"/>
      <c r="X136"/>
      <c r="Z136"/>
    </row>
    <row r="137" spans="1:26" ht="13.5" thickBot="1">
      <c r="A137" s="235">
        <f>IF(ISNUMBER('Data Entry'!$Q116),'Data Entry'!A116,"")</f>
      </c>
      <c r="B137" s="234">
        <f>IF(ISNUMBER('Data Entry'!$Q116),IF($B$3='Data Entry'!$B$8,'Data Entry'!L116,IF(AND($B$3=0,'Data Entry'!$B$8=1),'Data Entry'!L116/'Data Entry'!$B$9,IF(AND($B$3=1,'Data Entry'!$B$8=0),'Data Entry'!L116*'Data Entry'!$B$9,"Conversion Error"))),"")</f>
      </c>
      <c r="C137" s="234">
        <f>IF(ISNUMBER('Data Entry'!$Q116),IF(ISNUMBER('Data Entry'!$M116),'Data Entry'!$M116,IF(ISNUMBER('Data Entry'!$N116),'Data Entry'!$N116,"Error")),"")</f>
      </c>
      <c r="D137" s="236">
        <f>IF('Data Entry'!$Q116="","",IF(ISERROR($B137*COS(((360-$B$6)-$C137+90)*PI()/180)),"Error",$B137*COS(((360-$B$6)-$C137+90)*PI()/180)))</f>
      </c>
      <c r="E137" s="237">
        <f>IF('Data Entry'!$Q116="","",IF(ISERROR($B137*SIN(((360-$B$6)-$C137+90)*PI()/180)),"Error",$B137*SIN(((360-$B$6)-$C137+90)*PI()/180)))</f>
      </c>
      <c r="F137" s="234">
        <f t="shared" si="14"/>
      </c>
      <c r="G137" s="234">
        <f t="shared" si="14"/>
      </c>
      <c r="H137" s="83"/>
      <c r="I137" s="245">
        <f t="shared" si="12"/>
      </c>
      <c r="J137" s="245">
        <f>IF(K137="","",IF(AND($K137&gt;0,$L137&gt;0),(360-ATAN($L137/$K137)*180/PI()+360-$B$6+90)-(360*(INT((360-ATAN($L137/$K137)*180/PI()+360-$B$6+90)/360))),(IF(AND($K137&gt;0,$L137&lt;0),(0-ATAN($L137/$K137)*180/PI()+360-$B$6+90)-(360*(INT((0-ATAN($L137/$K137)*180/PI()+360-$B$6+90)/360))),(IF(AND($K137&lt;0,$L137&lt;0),(180-ATAN($L137/$K137)*180/PI()+360-$B$6+90)-(360*(INT((180-ATAN($L137/$K137)*180/PI()+360-$B$6+90)/360))),(180-ATAN($L137/$K137)*180/PI()+360-$B$6+90)-(360*(INT((180-ATAN($L137/$K137)*180/PI()+360-$B$6+90)/360)))))))))</f>
      </c>
      <c r="K137" s="188">
        <f t="shared" si="15"/>
      </c>
      <c r="L137" s="191">
        <f t="shared" si="16"/>
      </c>
      <c r="M137" s="245">
        <f t="shared" si="17"/>
      </c>
      <c r="N137" s="245">
        <f t="shared" si="18"/>
      </c>
      <c r="O137" s="83"/>
      <c r="P137" s="255">
        <f t="shared" si="10"/>
      </c>
      <c r="Q137" s="256">
        <f t="shared" si="11"/>
      </c>
      <c r="R137"/>
      <c r="S137" s="1"/>
      <c r="T137"/>
      <c r="W137"/>
      <c r="X137"/>
      <c r="Z137"/>
    </row>
    <row r="138" spans="1:22" ht="13.5" thickTop="1">
      <c r="A138" s="99"/>
      <c r="B138" s="99"/>
      <c r="C138" s="99"/>
      <c r="D138" s="99"/>
      <c r="E138" s="100"/>
      <c r="F138" s="99"/>
      <c r="G138" s="99"/>
      <c r="H138" s="24"/>
      <c r="I138" s="101"/>
      <c r="J138" s="102"/>
      <c r="K138" s="103"/>
      <c r="L138" s="102"/>
      <c r="M138" s="102"/>
      <c r="N138" s="102"/>
      <c r="U138" s="4"/>
      <c r="V138" s="4"/>
    </row>
    <row r="139" spans="3:22" ht="12.75">
      <c r="C139" s="40"/>
      <c r="U139" s="4"/>
      <c r="V139" s="4"/>
    </row>
    <row r="140" spans="3:22" ht="12.75">
      <c r="C140" s="40"/>
      <c r="U140" s="4"/>
      <c r="V140" s="4"/>
    </row>
    <row r="141" spans="3:22" ht="12.75">
      <c r="C141" s="40"/>
      <c r="U141" s="4"/>
      <c r="V141" s="4"/>
    </row>
    <row r="142" spans="3:22" ht="12.75">
      <c r="C142" s="40"/>
      <c r="U142" s="4"/>
      <c r="V142" s="4"/>
    </row>
    <row r="143" spans="3:22" ht="12.75">
      <c r="C143" s="40"/>
      <c r="U143" s="4"/>
      <c r="V143" s="4"/>
    </row>
    <row r="144" spans="3:22" ht="12.75">
      <c r="C144" s="40"/>
      <c r="U144" s="4"/>
      <c r="V144" s="4"/>
    </row>
    <row r="145" spans="3:22" ht="12.75">
      <c r="C145" s="40"/>
      <c r="U145" s="4"/>
      <c r="V145" s="4"/>
    </row>
    <row r="146" spans="3:22" ht="12.75">
      <c r="C146" s="40"/>
      <c r="U146" s="4"/>
      <c r="V146" s="4"/>
    </row>
    <row r="147" spans="3:22" ht="12.75">
      <c r="C147" s="40"/>
      <c r="U147" s="4"/>
      <c r="V147" s="4"/>
    </row>
    <row r="148" spans="3:22" ht="12.75">
      <c r="C148" s="40"/>
      <c r="U148" s="4"/>
      <c r="V148" s="4"/>
    </row>
    <row r="149" ht="12.75">
      <c r="C149" s="40"/>
    </row>
    <row r="150" ht="12.75">
      <c r="C150" s="40"/>
    </row>
    <row r="151" ht="12.75">
      <c r="C151" s="40"/>
    </row>
    <row r="152" ht="12.75">
      <c r="C152" s="40"/>
    </row>
    <row r="153" ht="12.75">
      <c r="C153" s="40"/>
    </row>
    <row r="154" ht="12.75">
      <c r="C154" s="40"/>
    </row>
    <row r="155" ht="12.75">
      <c r="C155" s="40"/>
    </row>
    <row r="156" ht="12.75">
      <c r="C156" s="40"/>
    </row>
    <row r="157" ht="12.75">
      <c r="C157" s="40"/>
    </row>
    <row r="158" ht="12.75">
      <c r="C158" s="40"/>
    </row>
    <row r="159" ht="12.75">
      <c r="C159" s="40"/>
    </row>
    <row r="160" ht="12.75">
      <c r="C160" s="40"/>
    </row>
    <row r="161" ht="12.75">
      <c r="C161" s="40"/>
    </row>
    <row r="162" ht="12.75">
      <c r="C162" s="40"/>
    </row>
    <row r="163" ht="12.75">
      <c r="C163" s="40"/>
    </row>
    <row r="164" ht="12.75">
      <c r="C164" s="40"/>
    </row>
    <row r="165" ht="12.75">
      <c r="C165" s="40"/>
    </row>
    <row r="166" ht="12.75">
      <c r="C166" s="40"/>
    </row>
    <row r="167" ht="12.75">
      <c r="C167" s="40"/>
    </row>
    <row r="168" ht="12.75">
      <c r="C168" s="40"/>
    </row>
    <row r="169" ht="12.75">
      <c r="C169" s="40"/>
    </row>
    <row r="170" ht="12.75">
      <c r="C170" s="40"/>
    </row>
    <row r="171" ht="12.75">
      <c r="C171" s="40"/>
    </row>
    <row r="172" ht="12.75">
      <c r="C172" s="40"/>
    </row>
    <row r="173" ht="12.75">
      <c r="C173" s="40"/>
    </row>
    <row r="174" ht="12.75">
      <c r="C174" s="40"/>
    </row>
    <row r="175" ht="12.75">
      <c r="C175" s="40"/>
    </row>
    <row r="176" ht="12.75">
      <c r="C176" s="40"/>
    </row>
    <row r="177" ht="12.75">
      <c r="C177" s="40"/>
    </row>
    <row r="178" ht="12.75">
      <c r="C178" s="40"/>
    </row>
    <row r="179" ht="12.75">
      <c r="C179" s="40"/>
    </row>
    <row r="180" ht="12.75">
      <c r="C180" s="40"/>
    </row>
    <row r="181" ht="12.75">
      <c r="C181" s="40"/>
    </row>
    <row r="182" ht="12.75">
      <c r="C182" s="40"/>
    </row>
    <row r="183" ht="12.75">
      <c r="C183" s="40"/>
    </row>
    <row r="184" ht="12.75">
      <c r="C184" s="40"/>
    </row>
    <row r="185" ht="12.75">
      <c r="C185" s="40"/>
    </row>
    <row r="186" ht="12.75">
      <c r="C186" s="40"/>
    </row>
    <row r="187" ht="12.75">
      <c r="C187" s="40"/>
    </row>
    <row r="188" ht="12.75">
      <c r="C188" s="40"/>
    </row>
    <row r="189" ht="12.75">
      <c r="C189" s="40"/>
    </row>
    <row r="190" ht="12.75">
      <c r="C190" s="40"/>
    </row>
    <row r="191" ht="12.75">
      <c r="C191" s="40"/>
    </row>
    <row r="192" ht="12.75">
      <c r="C192" s="40"/>
    </row>
    <row r="193" ht="12.75">
      <c r="C193" s="40"/>
    </row>
    <row r="194" ht="12.75">
      <c r="C194" s="40"/>
    </row>
    <row r="195" ht="12.75">
      <c r="C195" s="40"/>
    </row>
    <row r="196" ht="12.75">
      <c r="C196" s="40"/>
    </row>
    <row r="197" ht="12.75">
      <c r="C197" s="40"/>
    </row>
    <row r="198" ht="12.75">
      <c r="C198" s="40"/>
    </row>
    <row r="199" ht="12.75">
      <c r="C199" s="40"/>
    </row>
    <row r="200" ht="12.75">
      <c r="C200" s="40"/>
    </row>
    <row r="201" ht="12.75">
      <c r="C201" s="40"/>
    </row>
    <row r="202" ht="12.75">
      <c r="C202" s="40"/>
    </row>
    <row r="203" ht="12.75">
      <c r="C203" s="40"/>
    </row>
    <row r="204" ht="12.75">
      <c r="C204" s="40"/>
    </row>
  </sheetData>
  <sheetProtection sheet="1" objects="1" scenarios="1"/>
  <mergeCells count="28">
    <mergeCell ref="A3:A4"/>
    <mergeCell ref="C3:D3"/>
    <mergeCell ref="C6:D6"/>
    <mergeCell ref="A16:A17"/>
    <mergeCell ref="A25:D25"/>
    <mergeCell ref="A26:B26"/>
    <mergeCell ref="A27:B27"/>
    <mergeCell ref="A28:B28"/>
    <mergeCell ref="A29:B29"/>
    <mergeCell ref="A30:B30"/>
    <mergeCell ref="A31:B31"/>
    <mergeCell ref="K35:K36"/>
    <mergeCell ref="A32:B32"/>
    <mergeCell ref="A34:A36"/>
    <mergeCell ref="B34:G34"/>
    <mergeCell ref="I34:N34"/>
    <mergeCell ref="L35:L36"/>
    <mergeCell ref="M35:N35"/>
    <mergeCell ref="P27:Q27"/>
    <mergeCell ref="P34:Q35"/>
    <mergeCell ref="S34:T35"/>
    <mergeCell ref="B35:B36"/>
    <mergeCell ref="C35:C36"/>
    <mergeCell ref="D35:D36"/>
    <mergeCell ref="E35:E36"/>
    <mergeCell ref="F35:G35"/>
    <mergeCell ref="I35:I36"/>
    <mergeCell ref="J35:J36"/>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J240"/>
  <sheetViews>
    <sheetView view="pageBreakPreview" zoomScale="60" zoomScaleNormal="50" workbookViewId="0" topLeftCell="A1">
      <pane ySplit="31" topLeftCell="BM32" activePane="bottomLeft" state="frozen"/>
      <selection pane="topLeft" activeCell="A1" sqref="A1"/>
      <selection pane="bottomLeft" activeCell="D32" sqref="D32"/>
    </sheetView>
  </sheetViews>
  <sheetFormatPr defaultColWidth="9.140625" defaultRowHeight="12.75"/>
  <cols>
    <col min="1" max="1" width="29.140625" style="7" customWidth="1"/>
    <col min="2" max="7" width="25.7109375" style="7" customWidth="1"/>
    <col min="8" max="8" width="3.7109375" style="7" customWidth="1"/>
    <col min="9" max="9" width="25.7109375" style="1" customWidth="1"/>
    <col min="10" max="10" width="25.7109375" style="41" customWidth="1"/>
  </cols>
  <sheetData>
    <row r="1" spans="1:10" s="17" customFormat="1" ht="54" customHeight="1" thickBot="1">
      <c r="A1" s="35" t="s">
        <v>153</v>
      </c>
      <c r="B1" s="35"/>
      <c r="C1" s="35"/>
      <c r="F1" s="36"/>
      <c r="G1" s="36"/>
      <c r="H1" s="36"/>
      <c r="I1" s="36"/>
      <c r="J1" s="80"/>
    </row>
    <row r="2" spans="1:10" s="17" customFormat="1" ht="27" customHeight="1" thickBot="1" thickTop="1">
      <c r="A2" s="50" t="s">
        <v>108</v>
      </c>
      <c r="B2" s="282" t="str">
        <f>IF('Data Entry'!B8=0,"English (ft)","Metric (m)")</f>
        <v>English (ft)</v>
      </c>
      <c r="F2" s="36"/>
      <c r="G2" s="36"/>
      <c r="H2" s="36"/>
      <c r="I2" s="36"/>
      <c r="J2" s="80"/>
    </row>
    <row r="3" spans="1:10" s="17" customFormat="1" ht="14.25" customHeight="1" thickBot="1" thickTop="1">
      <c r="A3" s="397" t="s">
        <v>126</v>
      </c>
      <c r="B3" s="204">
        <v>0</v>
      </c>
      <c r="C3" s="398" t="s">
        <v>93</v>
      </c>
      <c r="D3" s="399"/>
      <c r="F3" s="36"/>
      <c r="G3" s="36"/>
      <c r="H3" s="36"/>
      <c r="I3" s="36"/>
      <c r="J3" s="80"/>
    </row>
    <row r="4" spans="1:10" ht="14.25" thickBot="1" thickTop="1">
      <c r="A4" s="397"/>
      <c r="B4" s="282" t="str">
        <f>IF(B3=0,"English (ft)","Metric (m)")</f>
        <v>English (ft)</v>
      </c>
      <c r="E4" s="1"/>
      <c r="G4" s="1"/>
      <c r="H4" s="1"/>
      <c r="J4" s="42"/>
    </row>
    <row r="5" spans="1:10" ht="14.25" thickBot="1" thickTop="1">
      <c r="A5" s="50"/>
      <c r="C5" s="34"/>
      <c r="D5" s="34"/>
      <c r="E5" s="1"/>
      <c r="G5" s="1"/>
      <c r="H5" s="1"/>
      <c r="J5" s="42"/>
    </row>
    <row r="6" spans="1:10" ht="14.25" thickBot="1" thickTop="1">
      <c r="A6" s="50" t="s">
        <v>105</v>
      </c>
      <c r="B6" s="204">
        <v>0</v>
      </c>
      <c r="C6" s="400" t="s">
        <v>123</v>
      </c>
      <c r="D6" s="401"/>
      <c r="E6" s="5"/>
      <c r="F6" s="1"/>
      <c r="G6" s="1"/>
      <c r="H6" s="1"/>
      <c r="J6" s="42"/>
    </row>
    <row r="7" spans="1:10" ht="14.25" thickBot="1" thickTop="1">
      <c r="A7" s="50" t="s">
        <v>106</v>
      </c>
      <c r="B7" s="204">
        <v>0</v>
      </c>
      <c r="E7" s="1"/>
      <c r="F7" s="1"/>
      <c r="I7"/>
      <c r="J7" s="42"/>
    </row>
    <row r="8" spans="1:10" ht="14.25" thickBot="1" thickTop="1">
      <c r="A8" s="50" t="s">
        <v>107</v>
      </c>
      <c r="B8" s="204">
        <v>0</v>
      </c>
      <c r="I8"/>
      <c r="J8" s="42"/>
    </row>
    <row r="9" spans="1:10" ht="14.25" thickBot="1" thickTop="1">
      <c r="A9" s="51"/>
      <c r="I9"/>
      <c r="J9" s="42"/>
    </row>
    <row r="10" spans="1:10" ht="14.25" thickBot="1" thickTop="1">
      <c r="A10" s="51"/>
      <c r="B10" s="271" t="s">
        <v>103</v>
      </c>
      <c r="C10" s="272" t="s">
        <v>104</v>
      </c>
      <c r="H10" s="84"/>
      <c r="I10"/>
      <c r="J10" s="42"/>
    </row>
    <row r="11" spans="1:10" ht="27.75" customHeight="1">
      <c r="A11" s="50" t="s">
        <v>146</v>
      </c>
      <c r="B11" s="264">
        <f>F32</f>
        <v>0</v>
      </c>
      <c r="C11" s="270">
        <f>G32</f>
        <v>0</v>
      </c>
      <c r="D11" s="21"/>
      <c r="H11" s="1"/>
      <c r="J11" s="42"/>
    </row>
    <row r="12" spans="1:10" ht="27.75" customHeight="1" thickBot="1">
      <c r="A12" s="50" t="s">
        <v>147</v>
      </c>
      <c r="B12" s="268">
        <f ca="1">OFFSET(F33,COUNT(F33:F132)-1,0)</f>
        <v>0</v>
      </c>
      <c r="C12" s="269">
        <f ca="1">OFFSET(G33,COUNT(G33:G132)-1,0)</f>
        <v>0</v>
      </c>
      <c r="J12" s="42"/>
    </row>
    <row r="13" spans="1:10" ht="14.25" thickBot="1" thickTop="1">
      <c r="A13" s="50"/>
      <c r="B13" s="215"/>
      <c r="C13" s="215"/>
      <c r="J13" s="42"/>
    </row>
    <row r="14" spans="1:10" ht="14.25" thickBot="1" thickTop="1">
      <c r="A14" s="50"/>
      <c r="B14" s="274"/>
      <c r="C14" s="273" t="s">
        <v>92</v>
      </c>
      <c r="J14" s="42"/>
    </row>
    <row r="15" spans="1:10" ht="27.75" customHeight="1" thickTop="1">
      <c r="A15" s="98" t="s">
        <v>158</v>
      </c>
      <c r="B15" s="265">
        <f ca="1">SQRT((OFFSET($F$33,COUNT($F$33:$F$132)-1,0)-$F$32)^2+(OFFSET($G$33,COUNT($G$33:$G$132)-1,0)-$G$32)^2)</f>
        <v>0</v>
      </c>
      <c r="C15" s="275" t="str">
        <f>IF($B$3=0,"ft","m")</f>
        <v>ft</v>
      </c>
      <c r="D15" s="21"/>
      <c r="H15" s="46"/>
      <c r="J15" s="42"/>
    </row>
    <row r="16" spans="1:10" ht="13.5" customHeight="1">
      <c r="A16" s="397" t="s">
        <v>1</v>
      </c>
      <c r="B16" s="266" t="str">
        <f>IF(AND(B15&lt;&gt;0,ISNUMBER(B15)),IF(OR(AND((B12-B11)&gt;0,(C12-C11)&gt;0),AND((B12-B11)&gt;0,(C12-C11)&lt;0)),(90-ATAN((C12-C11)/(B12-B11))*180/PI())-(360*(INT((90-ATAN((C12-C11)/(B12-B11))*180/PI())/360))),(IF(OR(AND((B12-B11)&lt;0,(C12-C11)&gt;0),AND((B12-B11)&lt;0,(C12-C11)&lt;0)),(180-ATAN((C12-C11)/(B12-B11))*180/PI()+90)-(360*(INT((180-ATAN((C12-C11)/(B12-B11))*180/PI()+90)/360))),IF((B12-B11)=0,90-90*SIGN((C12-C11)),IF((C12-C11)=0,180-90*SIGN((B12-B11)),"Calculation Error"))))),IF(B15="Enter X,Y Coordinate","Pair Data In The Yellow","N/A"))</f>
        <v>N/A</v>
      </c>
      <c r="C16" s="275" t="s">
        <v>55</v>
      </c>
      <c r="D16" s="21"/>
      <c r="H16" s="46"/>
      <c r="J16" s="42"/>
    </row>
    <row r="17" spans="1:10" ht="13.5" customHeight="1">
      <c r="A17" s="397"/>
      <c r="B17" s="266" t="str">
        <f>IF(ISNUMBER(B16),INT(B16)&amp;"  "&amp;INT((B16-INT(B16))*60)&amp;"'  "&amp;INT((((B16-INT(B16))*60)-INT((B16-INT(B16))*60))*60*100)/100&amp;"""",IF(B16="N/A","N/A","Shaded Cells Above"))</f>
        <v>N/A</v>
      </c>
      <c r="C17" s="275" t="s">
        <v>159</v>
      </c>
      <c r="D17" s="21"/>
      <c r="H17" s="46"/>
      <c r="J17" s="42"/>
    </row>
    <row r="18" spans="1:10" ht="27.75" customHeight="1">
      <c r="A18" s="98" t="s">
        <v>141</v>
      </c>
      <c r="B18" s="266" t="str">
        <f>IF(ISNUMBER(B16),IF(AND(B16&gt;=0,B16&lt;=360),IF(AND(B16&gt;=0,B16&lt;90),"N "&amp;(INT(B16*10000)/10000)&amp;" E",IF(AND(B16&gt;=90,B16&lt;180),"S "&amp;(INT((180-B16)*10000)/10000)&amp;" E",IF(AND(B16&gt;=180,B16&lt;270),"S "&amp;(INT((B16-180)*10000)/10000)&amp;" W","N "&amp;(INT((360-B16)*10000)/10000)&amp;" W"))),"Conversion Error"),IF(B16="N/A","N/A",""))</f>
        <v>N/A</v>
      </c>
      <c r="C18" s="275" t="s">
        <v>0</v>
      </c>
      <c r="D18" s="21"/>
      <c r="H18" s="46"/>
      <c r="J18" s="42"/>
    </row>
    <row r="19" spans="1:10" ht="27.75" customHeight="1">
      <c r="A19" s="98" t="s">
        <v>154</v>
      </c>
      <c r="B19" s="266">
        <f>SUM($B$33:$B$132)</f>
        <v>0</v>
      </c>
      <c r="C19" s="275" t="str">
        <f>IF($B$3=0,"ft","m")</f>
        <v>ft</v>
      </c>
      <c r="D19" s="21"/>
      <c r="H19" s="46"/>
      <c r="J19" s="42"/>
    </row>
    <row r="20" spans="1:10" ht="27.75" customHeight="1" thickBot="1">
      <c r="A20" s="50" t="s">
        <v>135</v>
      </c>
      <c r="B20" s="267">
        <f>COUNT($B$33:$B$132)</f>
        <v>0</v>
      </c>
      <c r="C20" s="283"/>
      <c r="D20" s="21"/>
      <c r="E20" s="15"/>
      <c r="F20" s="86"/>
      <c r="G20" s="55"/>
      <c r="H20" s="46"/>
      <c r="J20" s="42"/>
    </row>
    <row r="21" spans="1:10" ht="14.25" thickBot="1" thickTop="1">
      <c r="A21" s="88"/>
      <c r="B21" s="259"/>
      <c r="C21" s="260"/>
      <c r="D21" s="40"/>
      <c r="F21" s="53"/>
      <c r="J21" s="42"/>
    </row>
    <row r="22" spans="1:10" ht="14.25" thickBot="1" thickTop="1">
      <c r="A22" s="402" t="s">
        <v>91</v>
      </c>
      <c r="B22" s="403"/>
      <c r="C22" s="40"/>
      <c r="D22" s="40"/>
      <c r="J22" s="42"/>
    </row>
    <row r="23" spans="1:10" ht="15.75">
      <c r="A23" s="276" t="s">
        <v>90</v>
      </c>
      <c r="B23" s="277">
        <v>0</v>
      </c>
      <c r="C23" s="261"/>
      <c r="D23" s="261"/>
      <c r="F23" s="55"/>
      <c r="I23" s="2"/>
      <c r="J23" s="42"/>
    </row>
    <row r="24" spans="1:10" ht="12.75">
      <c r="A24" s="247" t="s">
        <v>47</v>
      </c>
      <c r="B24" s="278">
        <v>0</v>
      </c>
      <c r="C24" s="223"/>
      <c r="D24" s="262"/>
      <c r="F24" s="55"/>
      <c r="I24" s="2"/>
      <c r="J24" s="42"/>
    </row>
    <row r="25" spans="1:10" ht="12.75">
      <c r="A25" s="247" t="s">
        <v>48</v>
      </c>
      <c r="B25" s="278">
        <v>0</v>
      </c>
      <c r="C25" s="224"/>
      <c r="D25" s="263"/>
      <c r="J25" s="42"/>
    </row>
    <row r="26" spans="1:10" ht="12.75">
      <c r="A26" s="247" t="s">
        <v>87</v>
      </c>
      <c r="B26" s="278">
        <v>10</v>
      </c>
      <c r="C26" s="224"/>
      <c r="D26" s="263"/>
      <c r="J26" s="42"/>
    </row>
    <row r="27" spans="1:10" ht="13.5" thickBot="1">
      <c r="A27" s="249" t="s">
        <v>88</v>
      </c>
      <c r="B27" s="279">
        <v>0.25</v>
      </c>
      <c r="C27" s="224"/>
      <c r="D27" s="263"/>
      <c r="G27" s="52"/>
      <c r="H27" s="52"/>
      <c r="J27" s="42"/>
    </row>
    <row r="28" spans="1:10" ht="14.25" thickBot="1" thickTop="1">
      <c r="A28" s="47"/>
      <c r="B28" s="6"/>
      <c r="C28" s="48"/>
      <c r="D28" s="49"/>
      <c r="J28" s="42"/>
    </row>
    <row r="29" spans="1:10" ht="18.75" thickTop="1">
      <c r="A29" s="384" t="s">
        <v>4</v>
      </c>
      <c r="B29" s="387" t="s">
        <v>160</v>
      </c>
      <c r="C29" s="388"/>
      <c r="D29" s="388"/>
      <c r="E29" s="388"/>
      <c r="F29" s="388"/>
      <c r="G29" s="389"/>
      <c r="H29" s="257"/>
      <c r="I29" s="368" t="s">
        <v>49</v>
      </c>
      <c r="J29" s="365"/>
    </row>
    <row r="30" spans="1:10" ht="12.75">
      <c r="A30" s="385"/>
      <c r="B30" s="371" t="s">
        <v>5</v>
      </c>
      <c r="C30" s="373" t="s">
        <v>1</v>
      </c>
      <c r="D30" s="371" t="s">
        <v>72</v>
      </c>
      <c r="E30" s="375" t="s">
        <v>74</v>
      </c>
      <c r="F30" s="377" t="s">
        <v>73</v>
      </c>
      <c r="G30" s="378"/>
      <c r="H30" s="111"/>
      <c r="I30" s="369"/>
      <c r="J30" s="370"/>
    </row>
    <row r="31" spans="1:10" ht="13.5" thickBot="1">
      <c r="A31" s="386"/>
      <c r="B31" s="372"/>
      <c r="C31" s="374"/>
      <c r="D31" s="372"/>
      <c r="E31" s="376"/>
      <c r="F31" s="228" t="s">
        <v>98</v>
      </c>
      <c r="G31" s="229" t="s">
        <v>99</v>
      </c>
      <c r="H31" s="111"/>
      <c r="I31" s="250" t="s">
        <v>103</v>
      </c>
      <c r="J31" s="251" t="s">
        <v>104</v>
      </c>
    </row>
    <row r="32" spans="1:10" ht="12.75">
      <c r="A32" s="230" t="s">
        <v>15</v>
      </c>
      <c r="B32" s="231" t="str">
        <f>IF(ISNUMBER('Data Entry'!$Q16),'Data Entry'!B16,"")</f>
        <v>N/A</v>
      </c>
      <c r="C32" s="231" t="str">
        <f>IF(ISNUMBER('Data Entry'!$Q16),'Data Entry'!B16,"")</f>
        <v>N/A</v>
      </c>
      <c r="D32" s="231" t="str">
        <f>IF(ISNUMBER('Data Entry'!$Q16),'Data Entry'!B16,"")</f>
        <v>N/A</v>
      </c>
      <c r="E32" s="233" t="str">
        <f>IF(ISNUMBER('Data Entry'!$Q16),'Data Entry'!E16,"")</f>
        <v>N/A</v>
      </c>
      <c r="F32" s="234">
        <f>IF(('Data Entry'!Q16=""),"",IF(($B$3='Data Entry'!$B$8),'Data Entry'!Q16+$B$7,IF(AND($B$3=0,'Data Entry'!$B$8=1),'Data Entry'!Q16/'Data Entry'!$B$9+$B$7,IF(AND($B$3=1,'Data Entry'!$B$8=0),'Data Entry'!Q16*'Data Entry'!$B$9+$B$7,"Conv. Error"))))</f>
        <v>0</v>
      </c>
      <c r="G32" s="234">
        <f>IF(('Data Entry'!R16=""),"",IF(($B$3='Data Entry'!$B$8),'Data Entry'!R16+$B$8,IF(AND($B$3=0,'Data Entry'!$B$8=1),'Data Entry'!R16/'Data Entry'!$B$9+$B$8,IF(AND($B$3=1,'Data Entry'!$B$8=0),'Data Entry'!R16*'Data Entry'!$B$9+$B$8,"Conv. Error"))))</f>
        <v>0</v>
      </c>
      <c r="H32" s="111"/>
      <c r="I32" s="181">
        <f>$B$24+MIN($F:$F)+((MAX($F:$F)-MIN($F:$F))/2)</f>
        <v>0</v>
      </c>
      <c r="J32" s="182">
        <f>$B$25+MIN($G:$G)+((MAX($G:$G)-MIN($G:$G))/2)</f>
        <v>0</v>
      </c>
    </row>
    <row r="33" spans="1:10" ht="12.75">
      <c r="A33" s="235">
        <f>IF(ISNUMBER('Data Entry'!$Q17),'Data Entry'!A17,"")</f>
      </c>
      <c r="B33" s="234">
        <f>IF(ISNUMBER('Data Entry'!$Q17),IF($B$3='Data Entry'!$B$8,'Data Entry'!L17,IF(AND($B$3=0,'Data Entry'!$B$8=1),'Data Entry'!L17/'Data Entry'!$B$9,IF(AND($B$3=1,'Data Entry'!$B$8=0),'Data Entry'!L17*'Data Entry'!$B$9,"Conversion Error"))),"")</f>
      </c>
      <c r="C33" s="234">
        <f>IF(ISNUMBER('Data Entry'!$Q17),IF(ISNUMBER('Data Entry'!$M17),'Data Entry'!$M17,IF(ISNUMBER('Data Entry'!$N17),'Data Entry'!$N17,"Error")),"")</f>
      </c>
      <c r="D33" s="236">
        <f>IF(('Data Entry'!$Q17=""),"",IF(($B$3='Data Entry'!$B$8),($B33*COS(((360-$B$6)-$C33+90)*PI()/180)),IF(AND($B$3=0,'Data Entry'!$B$8=1),($B33*COS(((360-$B$6)-$C33+90)*PI()/180))/'Data Entry'!$B$9,IF(AND($B$3=1,'Data Entry'!$B$8=0),($B33*COS(((360-$B$6)-$C33+90)*PI()/180))*'Data Entry'!$B$9,"Conv. Error"))))</f>
      </c>
      <c r="E33" s="237">
        <f>IF(('Data Entry'!$Q17=""),"",IF(($B$3='Data Entry'!$B$8),($B33*SIN(((360-$B$6)-$C33+90)*PI()/180)),IF(AND($B$3=0,'Data Entry'!$B$8=1),($B33*SIN(((360-$B$6)-$C33+90)*PI()/180))/'Data Entry'!$B$9,IF(AND($B$3=1,'Data Entry'!$B$8=0),($B33*SIN(((360-$B$6)-$C33+90)*PI()/180))*'Data Entry'!$B$9,"Conv. Error"))))</f>
      </c>
      <c r="F33" s="234">
        <f>IF(ISERROR(F32+D33),"",F32+D33)</f>
      </c>
      <c r="G33" s="234">
        <f>IF(ISERROR(G32+E33),"",G32+E33)</f>
      </c>
      <c r="H33" s="258"/>
      <c r="I33" s="181">
        <f>I32+(1-$B$27)*($B$23+(0.5*(MAX($F:$F)-MIN($F:$F))/2))*COS(((360-$B$6)+90)*PI()/180)</f>
        <v>0</v>
      </c>
      <c r="J33" s="182">
        <f>J32+(1-$B$27)*($B$23+0.5*(MAX($G:$G)-MIN($G:$G))/2)*SIN(((360-$B$6)+90)*PI()/180)</f>
        <v>0</v>
      </c>
    </row>
    <row r="34" spans="1:10" ht="12.75">
      <c r="A34" s="235">
        <f>IF(ISNUMBER('Data Entry'!$Q18),'Data Entry'!A18,"")</f>
      </c>
      <c r="B34" s="234">
        <f>IF(ISNUMBER('Data Entry'!$Q18),IF($B$3='Data Entry'!$B$8,'Data Entry'!L18,IF(AND($B$3=0,'Data Entry'!$B$8=1),'Data Entry'!L18/'Data Entry'!$B$9,IF(AND($B$3=1,'Data Entry'!$B$8=0),'Data Entry'!L18*'Data Entry'!$B$9,"Conversion Error"))),"")</f>
      </c>
      <c r="C34" s="234">
        <f>IF(ISNUMBER('Data Entry'!$Q18),IF(ISNUMBER('Data Entry'!$M18),'Data Entry'!$M18,IF(ISNUMBER('Data Entry'!$N18),'Data Entry'!$N18,"Error")),"")</f>
      </c>
      <c r="D34" s="236">
        <f>IF(('Data Entry'!$Q18=""),"",IF(($B$3='Data Entry'!$B$8),($B34*COS(((360-$B$6)-$C34+90)*PI()/180)),IF(AND($B$3=0,'Data Entry'!$B$8=1),($B34*COS(((360-$B$6)-$C34+90)*PI()/180))/'Data Entry'!$B$9,IF(AND($B$3=1,'Data Entry'!$B$8=0),($B34*COS(((360-$B$6)-$C34+90)*PI()/180))*'Data Entry'!$B$9,"Conv. Error"))))</f>
      </c>
      <c r="E34" s="237">
        <f>IF(('Data Entry'!$Q18=""),"",IF(($B$3='Data Entry'!$B$8),($B34*SIN(((360-$B$6)-$C34+90)*PI()/180)),IF(AND($B$3=0,'Data Entry'!$B$8=1),($B34*SIN(((360-$B$6)-$C34+90)*PI()/180))/'Data Entry'!$B$9,IF(AND($B$3=1,'Data Entry'!$B$8=0),($B34*SIN(((360-$B$6)-$C34+90)*PI()/180))*'Data Entry'!$B$9,"Conv. Error"))))</f>
      </c>
      <c r="F34" s="234">
        <f aca="true" t="shared" si="0" ref="F34:G97">IF(ISERROR(F33+D34),"",F33+D34)</f>
      </c>
      <c r="G34" s="234">
        <f t="shared" si="0"/>
      </c>
      <c r="H34" s="258"/>
      <c r="I34" s="181">
        <f>I33+($B$26/2)*SIN((180-((360-$B$6)+90))*PI()/180)</f>
        <v>5</v>
      </c>
      <c r="J34" s="182">
        <f>J33+($B$26/2)*COS((180-((360-$B$6)+90))*PI()/180)</f>
        <v>-9.18861341181465E-16</v>
      </c>
    </row>
    <row r="35" spans="1:10" ht="12.75">
      <c r="A35" s="235">
        <f>IF(ISNUMBER('Data Entry'!$Q19),'Data Entry'!A19,"")</f>
      </c>
      <c r="B35" s="234">
        <f>IF(ISNUMBER('Data Entry'!$Q19),IF($B$3='Data Entry'!$B$8,'Data Entry'!L19,IF(AND($B$3=0,'Data Entry'!$B$8=1),'Data Entry'!L19/'Data Entry'!$B$9,IF(AND($B$3=1,'Data Entry'!$B$8=0),'Data Entry'!L19*'Data Entry'!$B$9,"Conversion Error"))),"")</f>
      </c>
      <c r="C35" s="234">
        <f>IF(ISNUMBER('Data Entry'!$Q19),IF(ISNUMBER('Data Entry'!$M19),'Data Entry'!$M19,IF(ISNUMBER('Data Entry'!$N19),'Data Entry'!$N19,"Error")),"")</f>
      </c>
      <c r="D35" s="236">
        <f>IF(('Data Entry'!$Q19=""),"",IF(($B$3='Data Entry'!$B$8),($B35*COS(((360-$B$6)-$C35+90)*PI()/180)),IF(AND($B$3=0,'Data Entry'!$B$8=1),($B35*COS(((360-$B$6)-$C35+90)*PI()/180))/'Data Entry'!$B$9,IF(AND($B$3=1,'Data Entry'!$B$8=0),($B35*COS(((360-$B$6)-$C35+90)*PI()/180))*'Data Entry'!$B$9,"Conv. Error"))))</f>
      </c>
      <c r="E35" s="237">
        <f>IF(('Data Entry'!$Q19=""),"",IF(($B$3='Data Entry'!$B$8),($B35*SIN(((360-$B$6)-$C35+90)*PI()/180)),IF(AND($B$3=0,'Data Entry'!$B$8=1),($B35*SIN(((360-$B$6)-$C35+90)*PI()/180))/'Data Entry'!$B$9,IF(AND($B$3=1,'Data Entry'!$B$8=0),($B35*SIN(((360-$B$6)-$C35+90)*PI()/180))*'Data Entry'!$B$9,"Conv. Error"))))</f>
      </c>
      <c r="F35" s="234">
        <f t="shared" si="0"/>
      </c>
      <c r="G35" s="234">
        <f t="shared" si="0"/>
      </c>
      <c r="H35" s="258"/>
      <c r="I35" s="181">
        <f>I33+$B$27*($B$23+(0.5*(MAX($F:$F)-MIN($F:$F))/2))*COS(((360-$B$6)+90)*PI()/180)</f>
        <v>0</v>
      </c>
      <c r="J35" s="182">
        <f>J33+$B$27*($B$23+(0.5*(MAX($G:$G)-MIN($G:$G))/2))*SIN(((360-$B$6)+90)*PI()/180)</f>
        <v>0</v>
      </c>
    </row>
    <row r="36" spans="1:10" ht="12.75">
      <c r="A36" s="235">
        <f>IF(ISNUMBER('Data Entry'!$Q20),'Data Entry'!A20,"")</f>
      </c>
      <c r="B36" s="234">
        <f>IF(ISNUMBER('Data Entry'!$Q20),IF($B$3='Data Entry'!$B$8,'Data Entry'!L20,IF(AND($B$3=0,'Data Entry'!$B$8=1),'Data Entry'!L20/'Data Entry'!$B$9,IF(AND($B$3=1,'Data Entry'!$B$8=0),'Data Entry'!L20*'Data Entry'!$B$9,"Conversion Error"))),"")</f>
      </c>
      <c r="C36" s="234">
        <f>IF(ISNUMBER('Data Entry'!$Q20),IF(ISNUMBER('Data Entry'!$M20),'Data Entry'!$M20,IF(ISNUMBER('Data Entry'!$N20),'Data Entry'!$N20,"Error")),"")</f>
      </c>
      <c r="D36" s="236">
        <f>IF(('Data Entry'!$Q20=""),"",IF(($B$3='Data Entry'!$B$8),($B36*COS(((360-$B$6)-$C36+90)*PI()/180)),IF(AND($B$3=0,'Data Entry'!$B$8=1),($B36*COS(((360-$B$6)-$C36+90)*PI()/180))/'Data Entry'!$B$9,IF(AND($B$3=1,'Data Entry'!$B$8=0),($B36*COS(((360-$B$6)-$C36+90)*PI()/180))*'Data Entry'!$B$9,"Conv. Error"))))</f>
      </c>
      <c r="E36" s="237">
        <f>IF(('Data Entry'!$Q20=""),"",IF(($B$3='Data Entry'!$B$8),($B36*SIN(((360-$B$6)-$C36+90)*PI()/180)),IF(AND($B$3=0,'Data Entry'!$B$8=1),($B36*SIN(((360-$B$6)-$C36+90)*PI()/180))/'Data Entry'!$B$9,IF(AND($B$3=1,'Data Entry'!$B$8=0),($B36*SIN(((360-$B$6)-$C36+90)*PI()/180))*'Data Entry'!$B$9,"Conv. Error"))))</f>
      </c>
      <c r="F36" s="234">
        <f t="shared" si="0"/>
      </c>
      <c r="G36" s="234">
        <f t="shared" si="0"/>
      </c>
      <c r="H36" s="258"/>
      <c r="I36" s="181">
        <f>I33-($B$26/2)*SIN((180-((360-$B$6)+90))*PI()/180)</f>
        <v>-5</v>
      </c>
      <c r="J36" s="182">
        <f>J33-($B$26/2)*COS((180-((360-$B$6)+90))*PI()/180)</f>
        <v>9.18861341181465E-16</v>
      </c>
    </row>
    <row r="37" spans="1:10" ht="13.5" thickBot="1">
      <c r="A37" s="235">
        <f>IF(ISNUMBER('Data Entry'!$Q21),'Data Entry'!A21,"")</f>
      </c>
      <c r="B37" s="234">
        <f>IF(ISNUMBER('Data Entry'!$Q21),IF($B$3='Data Entry'!$B$8,'Data Entry'!L21,IF(AND($B$3=0,'Data Entry'!$B$8=1),'Data Entry'!L21/'Data Entry'!$B$9,IF(AND($B$3=1,'Data Entry'!$B$8=0),'Data Entry'!L21*'Data Entry'!$B$9,"Conversion Error"))),"")</f>
      </c>
      <c r="C37" s="234">
        <f>IF(ISNUMBER('Data Entry'!$Q21),IF(ISNUMBER('Data Entry'!$M21),'Data Entry'!$M21,IF(ISNUMBER('Data Entry'!$N21),'Data Entry'!$N21,"Error")),"")</f>
      </c>
      <c r="D37" s="236">
        <f>IF(('Data Entry'!$Q21=""),"",IF(($B$3='Data Entry'!$B$8),($B37*COS(((360-$B$6)-$C37+90)*PI()/180)),IF(AND($B$3=0,'Data Entry'!$B$8=1),($B37*COS(((360-$B$6)-$C37+90)*PI()/180))/'Data Entry'!$B$9,IF(AND($B$3=1,'Data Entry'!$B$8=0),($B37*COS(((360-$B$6)-$C37+90)*PI()/180))*'Data Entry'!$B$9,"Conv. Error"))))</f>
      </c>
      <c r="E37" s="237">
        <f>IF(('Data Entry'!$Q21=""),"",IF(($B$3='Data Entry'!$B$8),($B37*SIN(((360-$B$6)-$C37+90)*PI()/180)),IF(AND($B$3=0,'Data Entry'!$B$8=1),($B37*SIN(((360-$B$6)-$C37+90)*PI()/180))/'Data Entry'!$B$9,IF(AND($B$3=1,'Data Entry'!$B$8=0),($B37*SIN(((360-$B$6)-$C37+90)*PI()/180))*'Data Entry'!$B$9,"Conv. Error"))))</f>
      </c>
      <c r="F37" s="234">
        <f t="shared" si="0"/>
      </c>
      <c r="G37" s="234">
        <f t="shared" si="0"/>
      </c>
      <c r="H37" s="258"/>
      <c r="I37" s="183">
        <f>I33</f>
        <v>0</v>
      </c>
      <c r="J37" s="184">
        <f>J33</f>
        <v>0</v>
      </c>
    </row>
    <row r="38" spans="1:10" ht="13.5" thickTop="1">
      <c r="A38" s="235">
        <f>IF(ISNUMBER('Data Entry'!$Q22),'Data Entry'!A22,"")</f>
      </c>
      <c r="B38" s="234">
        <f>IF(ISNUMBER('Data Entry'!$Q22),IF($B$3='Data Entry'!$B$8,'Data Entry'!L22,IF(AND($B$3=0,'Data Entry'!$B$8=1),'Data Entry'!L22/'Data Entry'!$B$9,IF(AND($B$3=1,'Data Entry'!$B$8=0),'Data Entry'!L22*'Data Entry'!$B$9,"Conversion Error"))),"")</f>
      </c>
      <c r="C38" s="234">
        <f>IF(ISNUMBER('Data Entry'!$Q22),IF(ISNUMBER('Data Entry'!$M22),'Data Entry'!$M22,IF(ISNUMBER('Data Entry'!$N22),'Data Entry'!$N22,"Error")),"")</f>
      </c>
      <c r="D38" s="236">
        <f>IF(('Data Entry'!$Q22=""),"",IF(($B$3='Data Entry'!$B$8),($B38*COS(((360-$B$6)-$C38+90)*PI()/180)),IF(AND($B$3=0,'Data Entry'!$B$8=1),($B38*COS(((360-$B$6)-$C38+90)*PI()/180))/'Data Entry'!$B$9,IF(AND($B$3=1,'Data Entry'!$B$8=0),($B38*COS(((360-$B$6)-$C38+90)*PI()/180))*'Data Entry'!$B$9,"Conv. Error"))))</f>
      </c>
      <c r="E38" s="237">
        <f>IF(('Data Entry'!$Q22=""),"",IF(($B$3='Data Entry'!$B$8),($B38*SIN(((360-$B$6)-$C38+90)*PI()/180)),IF(AND($B$3=0,'Data Entry'!$B$8=1),($B38*SIN(((360-$B$6)-$C38+90)*PI()/180))/'Data Entry'!$B$9,IF(AND($B$3=1,'Data Entry'!$B$8=0),($B38*SIN(((360-$B$6)-$C38+90)*PI()/180))*'Data Entry'!$B$9,"Conv. Error"))))</f>
      </c>
      <c r="F38" s="234">
        <f t="shared" si="0"/>
      </c>
      <c r="G38" s="234">
        <f t="shared" si="0"/>
      </c>
      <c r="H38" s="258"/>
      <c r="I38" s="245"/>
      <c r="J38" s="245"/>
    </row>
    <row r="39" spans="1:10" ht="12.75">
      <c r="A39" s="235">
        <f>IF(ISNUMBER('Data Entry'!$Q23),'Data Entry'!A23,"")</f>
      </c>
      <c r="B39" s="234">
        <f>IF(ISNUMBER('Data Entry'!$Q23),IF($B$3='Data Entry'!$B$8,'Data Entry'!L23,IF(AND($B$3=0,'Data Entry'!$B$8=1),'Data Entry'!L23/'Data Entry'!$B$9,IF(AND($B$3=1,'Data Entry'!$B$8=0),'Data Entry'!L23*'Data Entry'!$B$9,"Conversion Error"))),"")</f>
      </c>
      <c r="C39" s="234">
        <f>IF(ISNUMBER('Data Entry'!$Q23),IF(ISNUMBER('Data Entry'!$M23),'Data Entry'!$M23,IF(ISNUMBER('Data Entry'!$N23),'Data Entry'!$N23,"Error")),"")</f>
      </c>
      <c r="D39" s="236">
        <f>IF(('Data Entry'!$Q23=""),"",IF(($B$3='Data Entry'!$B$8),($B39*COS(((360-$B$6)-$C39+90)*PI()/180)),IF(AND($B$3=0,'Data Entry'!$B$8=1),($B39*COS(((360-$B$6)-$C39+90)*PI()/180))/'Data Entry'!$B$9,IF(AND($B$3=1,'Data Entry'!$B$8=0),($B39*COS(((360-$B$6)-$C39+90)*PI()/180))*'Data Entry'!$B$9,"Conv. Error"))))</f>
      </c>
      <c r="E39" s="237">
        <f>IF(('Data Entry'!$Q23=""),"",IF(($B$3='Data Entry'!$B$8),($B39*SIN(((360-$B$6)-$C39+90)*PI()/180)),IF(AND($B$3=0,'Data Entry'!$B$8=1),($B39*SIN(((360-$B$6)-$C39+90)*PI()/180))/'Data Entry'!$B$9,IF(AND($B$3=1,'Data Entry'!$B$8=0),($B39*SIN(((360-$B$6)-$C39+90)*PI()/180))*'Data Entry'!$B$9,"Conv. Error"))))</f>
      </c>
      <c r="F39" s="234">
        <f t="shared" si="0"/>
      </c>
      <c r="G39" s="234">
        <f t="shared" si="0"/>
      </c>
      <c r="H39" s="258"/>
      <c r="I39" s="245"/>
      <c r="J39" s="245"/>
    </row>
    <row r="40" spans="1:10" ht="12.75">
      <c r="A40" s="235">
        <f>IF(ISNUMBER('Data Entry'!$Q24),'Data Entry'!A24,"")</f>
      </c>
      <c r="B40" s="234">
        <f>IF(ISNUMBER('Data Entry'!$Q24),IF($B$3='Data Entry'!$B$8,'Data Entry'!L24,IF(AND($B$3=0,'Data Entry'!$B$8=1),'Data Entry'!L24/'Data Entry'!$B$9,IF(AND($B$3=1,'Data Entry'!$B$8=0),'Data Entry'!L24*'Data Entry'!$B$9,"Conversion Error"))),"")</f>
      </c>
      <c r="C40" s="234">
        <f>IF(ISNUMBER('Data Entry'!$Q24),IF(ISNUMBER('Data Entry'!$M24),'Data Entry'!$M24,IF(ISNUMBER('Data Entry'!$N24),'Data Entry'!$N24,"Error")),"")</f>
      </c>
      <c r="D40" s="236">
        <f>IF(('Data Entry'!$Q24=""),"",IF(($B$3='Data Entry'!$B$8),($B40*COS(((360-$B$6)-$C40+90)*PI()/180)),IF(AND($B$3=0,'Data Entry'!$B$8=1),($B40*COS(((360-$B$6)-$C40+90)*PI()/180))/'Data Entry'!$B$9,IF(AND($B$3=1,'Data Entry'!$B$8=0),($B40*COS(((360-$B$6)-$C40+90)*PI()/180))*'Data Entry'!$B$9,"Conv. Error"))))</f>
      </c>
      <c r="E40" s="237">
        <f>IF(('Data Entry'!$Q24=""),"",IF(($B$3='Data Entry'!$B$8),($B40*SIN(((360-$B$6)-$C40+90)*PI()/180)),IF(AND($B$3=0,'Data Entry'!$B$8=1),($B40*SIN(((360-$B$6)-$C40+90)*PI()/180))/'Data Entry'!$B$9,IF(AND($B$3=1,'Data Entry'!$B$8=0),($B40*SIN(((360-$B$6)-$C40+90)*PI()/180))*'Data Entry'!$B$9,"Conv. Error"))))</f>
      </c>
      <c r="F40" s="234">
        <f t="shared" si="0"/>
      </c>
      <c r="G40" s="234">
        <f t="shared" si="0"/>
      </c>
      <c r="H40" s="258"/>
      <c r="I40" s="245"/>
      <c r="J40" s="245"/>
    </row>
    <row r="41" spans="1:10" ht="12.75">
      <c r="A41" s="235">
        <f>IF(ISNUMBER('Data Entry'!$Q25),'Data Entry'!A25,"")</f>
      </c>
      <c r="B41" s="234">
        <f>IF(ISNUMBER('Data Entry'!$Q25),IF($B$3='Data Entry'!$B$8,'Data Entry'!L25,IF(AND($B$3=0,'Data Entry'!$B$8=1),'Data Entry'!L25/'Data Entry'!$B$9,IF(AND($B$3=1,'Data Entry'!$B$8=0),'Data Entry'!L25*'Data Entry'!$B$9,"Conversion Error"))),"")</f>
      </c>
      <c r="C41" s="234">
        <f>IF(ISNUMBER('Data Entry'!$Q25),IF(ISNUMBER('Data Entry'!$M25),'Data Entry'!$M25,IF(ISNUMBER('Data Entry'!$N25),'Data Entry'!$N25,"Error")),"")</f>
      </c>
      <c r="D41" s="236">
        <f>IF(('Data Entry'!$Q25=""),"",IF(($B$3='Data Entry'!$B$8),($B41*COS(((360-$B$6)-$C41+90)*PI()/180)),IF(AND($B$3=0,'Data Entry'!$B$8=1),($B41*COS(((360-$B$6)-$C41+90)*PI()/180))/'Data Entry'!$B$9,IF(AND($B$3=1,'Data Entry'!$B$8=0),($B41*COS(((360-$B$6)-$C41+90)*PI()/180))*'Data Entry'!$B$9,"Conv. Error"))))</f>
      </c>
      <c r="E41" s="237">
        <f>IF(('Data Entry'!$Q25=""),"",IF(($B$3='Data Entry'!$B$8),($B41*SIN(((360-$B$6)-$C41+90)*PI()/180)),IF(AND($B$3=0,'Data Entry'!$B$8=1),($B41*SIN(((360-$B$6)-$C41+90)*PI()/180))/'Data Entry'!$B$9,IF(AND($B$3=1,'Data Entry'!$B$8=0),($B41*SIN(((360-$B$6)-$C41+90)*PI()/180))*'Data Entry'!$B$9,"Conv. Error"))))</f>
      </c>
      <c r="F41" s="234">
        <f t="shared" si="0"/>
      </c>
      <c r="G41" s="234">
        <f t="shared" si="0"/>
      </c>
      <c r="H41" s="258"/>
      <c r="I41" s="245"/>
      <c r="J41" s="245"/>
    </row>
    <row r="42" spans="1:10" ht="12.75">
      <c r="A42" s="235">
        <f>IF(ISNUMBER('Data Entry'!$Q26),'Data Entry'!A26,"")</f>
      </c>
      <c r="B42" s="234">
        <f>IF(ISNUMBER('Data Entry'!$Q26),IF($B$3='Data Entry'!$B$8,'Data Entry'!L26,IF(AND($B$3=0,'Data Entry'!$B$8=1),'Data Entry'!L26/'Data Entry'!$B$9,IF(AND($B$3=1,'Data Entry'!$B$8=0),'Data Entry'!L26*'Data Entry'!$B$9,"Conversion Error"))),"")</f>
      </c>
      <c r="C42" s="234">
        <f>IF(ISNUMBER('Data Entry'!$Q26),IF(ISNUMBER('Data Entry'!$M26),'Data Entry'!$M26,IF(ISNUMBER('Data Entry'!$N26),'Data Entry'!$N26,"Error")),"")</f>
      </c>
      <c r="D42" s="236">
        <f>IF(('Data Entry'!$Q26=""),"",IF(($B$3='Data Entry'!$B$8),($B42*COS(((360-$B$6)-$C42+90)*PI()/180)),IF(AND($B$3=0,'Data Entry'!$B$8=1),($B42*COS(((360-$B$6)-$C42+90)*PI()/180))/'Data Entry'!$B$9,IF(AND($B$3=1,'Data Entry'!$B$8=0),($B42*COS(((360-$B$6)-$C42+90)*PI()/180))*'Data Entry'!$B$9,"Conv. Error"))))</f>
      </c>
      <c r="E42" s="237">
        <f>IF(('Data Entry'!$Q26=""),"",IF(($B$3='Data Entry'!$B$8),($B42*SIN(((360-$B$6)-$C42+90)*PI()/180)),IF(AND($B$3=0,'Data Entry'!$B$8=1),($B42*SIN(((360-$B$6)-$C42+90)*PI()/180))/'Data Entry'!$B$9,IF(AND($B$3=1,'Data Entry'!$B$8=0),($B42*SIN(((360-$B$6)-$C42+90)*PI()/180))*'Data Entry'!$B$9,"Conv. Error"))))</f>
      </c>
      <c r="F42" s="234">
        <f t="shared" si="0"/>
      </c>
      <c r="G42" s="234">
        <f t="shared" si="0"/>
      </c>
      <c r="H42" s="258"/>
      <c r="I42" s="245"/>
      <c r="J42" s="245"/>
    </row>
    <row r="43" spans="1:10" ht="12.75">
      <c r="A43" s="235">
        <f>IF(ISNUMBER('Data Entry'!$Q27),'Data Entry'!A27,"")</f>
      </c>
      <c r="B43" s="234">
        <f>IF(ISNUMBER('Data Entry'!$Q27),IF($B$3='Data Entry'!$B$8,'Data Entry'!L27,IF(AND($B$3=0,'Data Entry'!$B$8=1),'Data Entry'!L27/'Data Entry'!$B$9,IF(AND($B$3=1,'Data Entry'!$B$8=0),'Data Entry'!L27*'Data Entry'!$B$9,"Conversion Error"))),"")</f>
      </c>
      <c r="C43" s="234">
        <f>IF(ISNUMBER('Data Entry'!$Q27),IF(ISNUMBER('Data Entry'!$M27),'Data Entry'!$M27,IF(ISNUMBER('Data Entry'!$N27),'Data Entry'!$N27,"Error")),"")</f>
      </c>
      <c r="D43" s="236">
        <f>IF(('Data Entry'!$Q27=""),"",IF(($B$3='Data Entry'!$B$8),($B43*COS(((360-$B$6)-$C43+90)*PI()/180)),IF(AND($B$3=0,'Data Entry'!$B$8=1),($B43*COS(((360-$B$6)-$C43+90)*PI()/180))/'Data Entry'!$B$9,IF(AND($B$3=1,'Data Entry'!$B$8=0),($B43*COS(((360-$B$6)-$C43+90)*PI()/180))*'Data Entry'!$B$9,"Conv. Error"))))</f>
      </c>
      <c r="E43" s="237">
        <f>IF(('Data Entry'!$Q27=""),"",IF(($B$3='Data Entry'!$B$8),($B43*SIN(((360-$B$6)-$C43+90)*PI()/180)),IF(AND($B$3=0,'Data Entry'!$B$8=1),($B43*SIN(((360-$B$6)-$C43+90)*PI()/180))/'Data Entry'!$B$9,IF(AND($B$3=1,'Data Entry'!$B$8=0),($B43*SIN(((360-$B$6)-$C43+90)*PI()/180))*'Data Entry'!$B$9,"Conv. Error"))))</f>
      </c>
      <c r="F43" s="234">
        <f t="shared" si="0"/>
      </c>
      <c r="G43" s="234">
        <f t="shared" si="0"/>
      </c>
      <c r="H43" s="258"/>
      <c r="I43" s="245"/>
      <c r="J43" s="245"/>
    </row>
    <row r="44" spans="1:10" ht="12.75">
      <c r="A44" s="235">
        <f>IF(ISNUMBER('Data Entry'!$Q28),'Data Entry'!A28,"")</f>
      </c>
      <c r="B44" s="234">
        <f>IF(ISNUMBER('Data Entry'!$Q28),IF($B$3='Data Entry'!$B$8,'Data Entry'!L28,IF(AND($B$3=0,'Data Entry'!$B$8=1),'Data Entry'!L28/'Data Entry'!$B$9,IF(AND($B$3=1,'Data Entry'!$B$8=0),'Data Entry'!L28*'Data Entry'!$B$9,"Conversion Error"))),"")</f>
      </c>
      <c r="C44" s="234">
        <f>IF(ISNUMBER('Data Entry'!$Q28),IF(ISNUMBER('Data Entry'!$M28),'Data Entry'!$M28,IF(ISNUMBER('Data Entry'!$N28),'Data Entry'!$N28,"Error")),"")</f>
      </c>
      <c r="D44" s="236">
        <f>IF(('Data Entry'!$Q28=""),"",IF(($B$3='Data Entry'!$B$8),($B44*COS(((360-$B$6)-$C44+90)*PI()/180)),IF(AND($B$3=0,'Data Entry'!$B$8=1),($B44*COS(((360-$B$6)-$C44+90)*PI()/180))/'Data Entry'!$B$9,IF(AND($B$3=1,'Data Entry'!$B$8=0),($B44*COS(((360-$B$6)-$C44+90)*PI()/180))*'Data Entry'!$B$9,"Conv. Error"))))</f>
      </c>
      <c r="E44" s="237">
        <f>IF(('Data Entry'!$Q28=""),"",IF(($B$3='Data Entry'!$B$8),($B44*SIN(((360-$B$6)-$C44+90)*PI()/180)),IF(AND($B$3=0,'Data Entry'!$B$8=1),($B44*SIN(((360-$B$6)-$C44+90)*PI()/180))/'Data Entry'!$B$9,IF(AND($B$3=1,'Data Entry'!$B$8=0),($B44*SIN(((360-$B$6)-$C44+90)*PI()/180))*'Data Entry'!$B$9,"Conv. Error"))))</f>
      </c>
      <c r="F44" s="234">
        <f t="shared" si="0"/>
      </c>
      <c r="G44" s="234">
        <f t="shared" si="0"/>
      </c>
      <c r="H44" s="258"/>
      <c r="I44" s="245"/>
      <c r="J44" s="245"/>
    </row>
    <row r="45" spans="1:10" ht="12.75">
      <c r="A45" s="235">
        <f>IF(ISNUMBER('Data Entry'!$Q29),'Data Entry'!A29,"")</f>
      </c>
      <c r="B45" s="234">
        <f>IF(ISNUMBER('Data Entry'!$Q29),IF($B$3='Data Entry'!$B$8,'Data Entry'!L29,IF(AND($B$3=0,'Data Entry'!$B$8=1),'Data Entry'!L29/'Data Entry'!$B$9,IF(AND($B$3=1,'Data Entry'!$B$8=0),'Data Entry'!L29*'Data Entry'!$B$9,"Conversion Error"))),"")</f>
      </c>
      <c r="C45" s="234">
        <f>IF(ISNUMBER('Data Entry'!$Q29),IF(ISNUMBER('Data Entry'!$M29),'Data Entry'!$M29,IF(ISNUMBER('Data Entry'!$N29),'Data Entry'!$N29,"Error")),"")</f>
      </c>
      <c r="D45" s="236">
        <f>IF(('Data Entry'!$Q29=""),"",IF(($B$3='Data Entry'!$B$8),($B45*COS(((360-$B$6)-$C45+90)*PI()/180)),IF(AND($B$3=0,'Data Entry'!$B$8=1),($B45*COS(((360-$B$6)-$C45+90)*PI()/180))/'Data Entry'!$B$9,IF(AND($B$3=1,'Data Entry'!$B$8=0),($B45*COS(((360-$B$6)-$C45+90)*PI()/180))*'Data Entry'!$B$9,"Conv. Error"))))</f>
      </c>
      <c r="E45" s="237">
        <f>IF(('Data Entry'!$Q29=""),"",IF(($B$3='Data Entry'!$B$8),($B45*SIN(((360-$B$6)-$C45+90)*PI()/180)),IF(AND($B$3=0,'Data Entry'!$B$8=1),($B45*SIN(((360-$B$6)-$C45+90)*PI()/180))/'Data Entry'!$B$9,IF(AND($B$3=1,'Data Entry'!$B$8=0),($B45*SIN(((360-$B$6)-$C45+90)*PI()/180))*'Data Entry'!$B$9,"Conv. Error"))))</f>
      </c>
      <c r="F45" s="234">
        <f t="shared" si="0"/>
      </c>
      <c r="G45" s="234">
        <f t="shared" si="0"/>
      </c>
      <c r="H45" s="258"/>
      <c r="I45" s="245"/>
      <c r="J45" s="245"/>
    </row>
    <row r="46" spans="1:10" ht="12.75">
      <c r="A46" s="235">
        <f>IF(ISNUMBER('Data Entry'!$Q30),'Data Entry'!A30,"")</f>
      </c>
      <c r="B46" s="234">
        <f>IF(ISNUMBER('Data Entry'!$Q30),IF($B$3='Data Entry'!$B$8,'Data Entry'!L30,IF(AND($B$3=0,'Data Entry'!$B$8=1),'Data Entry'!L30/'Data Entry'!$B$9,IF(AND($B$3=1,'Data Entry'!$B$8=0),'Data Entry'!L30*'Data Entry'!$B$9,"Conversion Error"))),"")</f>
      </c>
      <c r="C46" s="234">
        <f>IF(ISNUMBER('Data Entry'!$Q30),IF(ISNUMBER('Data Entry'!$M30),'Data Entry'!$M30,IF(ISNUMBER('Data Entry'!$N30),'Data Entry'!$N30,"Error")),"")</f>
      </c>
      <c r="D46" s="236">
        <f>IF(('Data Entry'!$Q30=""),"",IF(($B$3='Data Entry'!$B$8),($B46*COS(((360-$B$6)-$C46+90)*PI()/180)),IF(AND($B$3=0,'Data Entry'!$B$8=1),($B46*COS(((360-$B$6)-$C46+90)*PI()/180))/'Data Entry'!$B$9,IF(AND($B$3=1,'Data Entry'!$B$8=0),($B46*COS(((360-$B$6)-$C46+90)*PI()/180))*'Data Entry'!$B$9,"Conv. Error"))))</f>
      </c>
      <c r="E46" s="237">
        <f>IF(('Data Entry'!$Q30=""),"",IF(($B$3='Data Entry'!$B$8),($B46*SIN(((360-$B$6)-$C46+90)*PI()/180)),IF(AND($B$3=0,'Data Entry'!$B$8=1),($B46*SIN(((360-$B$6)-$C46+90)*PI()/180))/'Data Entry'!$B$9,IF(AND($B$3=1,'Data Entry'!$B$8=0),($B46*SIN(((360-$B$6)-$C46+90)*PI()/180))*'Data Entry'!$B$9,"Conv. Error"))))</f>
      </c>
      <c r="F46" s="234">
        <f t="shared" si="0"/>
      </c>
      <c r="G46" s="234">
        <f t="shared" si="0"/>
      </c>
      <c r="H46" s="258"/>
      <c r="I46" s="245"/>
      <c r="J46" s="245"/>
    </row>
    <row r="47" spans="1:10" ht="12.75">
      <c r="A47" s="235">
        <f>IF(ISNUMBER('Data Entry'!$Q31),'Data Entry'!A31,"")</f>
      </c>
      <c r="B47" s="234">
        <f>IF(ISNUMBER('Data Entry'!$Q31),IF($B$3='Data Entry'!$B$8,'Data Entry'!L31,IF(AND($B$3=0,'Data Entry'!$B$8=1),'Data Entry'!L31/'Data Entry'!$B$9,IF(AND($B$3=1,'Data Entry'!$B$8=0),'Data Entry'!L31*'Data Entry'!$B$9,"Conversion Error"))),"")</f>
      </c>
      <c r="C47" s="234">
        <f>IF(ISNUMBER('Data Entry'!$Q31),IF(ISNUMBER('Data Entry'!$M31),'Data Entry'!$M31,IF(ISNUMBER('Data Entry'!$N31),'Data Entry'!$N31,"Error")),"")</f>
      </c>
      <c r="D47" s="236">
        <f>IF(('Data Entry'!$Q31=""),"",IF(($B$3='Data Entry'!$B$8),($B47*COS(((360-$B$6)-$C47+90)*PI()/180)),IF(AND($B$3=0,'Data Entry'!$B$8=1),($B47*COS(((360-$B$6)-$C47+90)*PI()/180))/'Data Entry'!$B$9,IF(AND($B$3=1,'Data Entry'!$B$8=0),($B47*COS(((360-$B$6)-$C47+90)*PI()/180))*'Data Entry'!$B$9,"Conv. Error"))))</f>
      </c>
      <c r="E47" s="237">
        <f>IF(('Data Entry'!$Q31=""),"",IF(($B$3='Data Entry'!$B$8),($B47*SIN(((360-$B$6)-$C47+90)*PI()/180)),IF(AND($B$3=0,'Data Entry'!$B$8=1),($B47*SIN(((360-$B$6)-$C47+90)*PI()/180))/'Data Entry'!$B$9,IF(AND($B$3=1,'Data Entry'!$B$8=0),($B47*SIN(((360-$B$6)-$C47+90)*PI()/180))*'Data Entry'!$B$9,"Conv. Error"))))</f>
      </c>
      <c r="F47" s="234">
        <f t="shared" si="0"/>
      </c>
      <c r="G47" s="234">
        <f t="shared" si="0"/>
      </c>
      <c r="H47" s="258"/>
      <c r="I47" s="245"/>
      <c r="J47" s="245"/>
    </row>
    <row r="48" spans="1:10" ht="12.75">
      <c r="A48" s="235">
        <f>IF(ISNUMBER('Data Entry'!$Q32),'Data Entry'!A32,"")</f>
      </c>
      <c r="B48" s="234">
        <f>IF(ISNUMBER('Data Entry'!$Q32),IF($B$3='Data Entry'!$B$8,'Data Entry'!L32,IF(AND($B$3=0,'Data Entry'!$B$8=1),'Data Entry'!L32/'Data Entry'!$B$9,IF(AND($B$3=1,'Data Entry'!$B$8=0),'Data Entry'!L32*'Data Entry'!$B$9,"Conversion Error"))),"")</f>
      </c>
      <c r="C48" s="234">
        <f>IF(ISNUMBER('Data Entry'!$Q32),IF(ISNUMBER('Data Entry'!$M32),'Data Entry'!$M32,IF(ISNUMBER('Data Entry'!$N32),'Data Entry'!$N32,"Error")),"")</f>
      </c>
      <c r="D48" s="236">
        <f>IF(('Data Entry'!$Q32=""),"",IF(($B$3='Data Entry'!$B$8),($B48*COS(((360-$B$6)-$C48+90)*PI()/180)),IF(AND($B$3=0,'Data Entry'!$B$8=1),($B48*COS(((360-$B$6)-$C48+90)*PI()/180))/'Data Entry'!$B$9,IF(AND($B$3=1,'Data Entry'!$B$8=0),($B48*COS(((360-$B$6)-$C48+90)*PI()/180))*'Data Entry'!$B$9,"Conv. Error"))))</f>
      </c>
      <c r="E48" s="237">
        <f>IF(('Data Entry'!$Q32=""),"",IF(($B$3='Data Entry'!$B$8),($B48*SIN(((360-$B$6)-$C48+90)*PI()/180)),IF(AND($B$3=0,'Data Entry'!$B$8=1),($B48*SIN(((360-$B$6)-$C48+90)*PI()/180))/'Data Entry'!$B$9,IF(AND($B$3=1,'Data Entry'!$B$8=0),($B48*SIN(((360-$B$6)-$C48+90)*PI()/180))*'Data Entry'!$B$9,"Conv. Error"))))</f>
      </c>
      <c r="F48" s="234">
        <f t="shared" si="0"/>
      </c>
      <c r="G48" s="234">
        <f t="shared" si="0"/>
      </c>
      <c r="H48" s="258"/>
      <c r="I48" s="245"/>
      <c r="J48" s="245"/>
    </row>
    <row r="49" spans="1:10" ht="12.75">
      <c r="A49" s="235">
        <f>IF(ISNUMBER('Data Entry'!$Q33),'Data Entry'!A33,"")</f>
      </c>
      <c r="B49" s="234">
        <f>IF(ISNUMBER('Data Entry'!$Q33),IF($B$3='Data Entry'!$B$8,'Data Entry'!L33,IF(AND($B$3=0,'Data Entry'!$B$8=1),'Data Entry'!L33/'Data Entry'!$B$9,IF(AND($B$3=1,'Data Entry'!$B$8=0),'Data Entry'!L33*'Data Entry'!$B$9,"Conversion Error"))),"")</f>
      </c>
      <c r="C49" s="234">
        <f>IF(ISNUMBER('Data Entry'!$Q33),IF(ISNUMBER('Data Entry'!$M33),'Data Entry'!$M33,IF(ISNUMBER('Data Entry'!$N33),'Data Entry'!$N33,"Error")),"")</f>
      </c>
      <c r="D49" s="236">
        <f>IF(('Data Entry'!$Q33=""),"",IF(($B$3='Data Entry'!$B$8),($B49*COS(((360-$B$6)-$C49+90)*PI()/180)),IF(AND($B$3=0,'Data Entry'!$B$8=1),($B49*COS(((360-$B$6)-$C49+90)*PI()/180))/'Data Entry'!$B$9,IF(AND($B$3=1,'Data Entry'!$B$8=0),($B49*COS(((360-$B$6)-$C49+90)*PI()/180))*'Data Entry'!$B$9,"Conv. Error"))))</f>
      </c>
      <c r="E49" s="237">
        <f>IF(('Data Entry'!$Q33=""),"",IF(($B$3='Data Entry'!$B$8),($B49*SIN(((360-$B$6)-$C49+90)*PI()/180)),IF(AND($B$3=0,'Data Entry'!$B$8=1),($B49*SIN(((360-$B$6)-$C49+90)*PI()/180))/'Data Entry'!$B$9,IF(AND($B$3=1,'Data Entry'!$B$8=0),($B49*SIN(((360-$B$6)-$C49+90)*PI()/180))*'Data Entry'!$B$9,"Conv. Error"))))</f>
      </c>
      <c r="F49" s="234">
        <f t="shared" si="0"/>
      </c>
      <c r="G49" s="234">
        <f t="shared" si="0"/>
      </c>
      <c r="H49" s="258"/>
      <c r="I49" s="245"/>
      <c r="J49" s="245"/>
    </row>
    <row r="50" spans="1:10" ht="12.75">
      <c r="A50" s="235">
        <f>IF(ISNUMBER('Data Entry'!$Q34),'Data Entry'!A34,"")</f>
      </c>
      <c r="B50" s="234">
        <f>IF(ISNUMBER('Data Entry'!$Q34),IF($B$3='Data Entry'!$B$8,'Data Entry'!L34,IF(AND($B$3=0,'Data Entry'!$B$8=1),'Data Entry'!L34/'Data Entry'!$B$9,IF(AND($B$3=1,'Data Entry'!$B$8=0),'Data Entry'!L34*'Data Entry'!$B$9,"Conversion Error"))),"")</f>
      </c>
      <c r="C50" s="234">
        <f>IF(ISNUMBER('Data Entry'!$Q34),IF(ISNUMBER('Data Entry'!$M34),'Data Entry'!$M34,IF(ISNUMBER('Data Entry'!$N34),'Data Entry'!$N34,"Error")),"")</f>
      </c>
      <c r="D50" s="236">
        <f>IF(('Data Entry'!$Q34=""),"",IF(($B$3='Data Entry'!$B$8),($B50*COS(((360-$B$6)-$C50+90)*PI()/180)),IF(AND($B$3=0,'Data Entry'!$B$8=1),($B50*COS(((360-$B$6)-$C50+90)*PI()/180))/'Data Entry'!$B$9,IF(AND($B$3=1,'Data Entry'!$B$8=0),($B50*COS(((360-$B$6)-$C50+90)*PI()/180))*'Data Entry'!$B$9,"Conv. Error"))))</f>
      </c>
      <c r="E50" s="237">
        <f>IF(('Data Entry'!$Q34=""),"",IF(($B$3='Data Entry'!$B$8),($B50*SIN(((360-$B$6)-$C50+90)*PI()/180)),IF(AND($B$3=0,'Data Entry'!$B$8=1),($B50*SIN(((360-$B$6)-$C50+90)*PI()/180))/'Data Entry'!$B$9,IF(AND($B$3=1,'Data Entry'!$B$8=0),($B50*SIN(((360-$B$6)-$C50+90)*PI()/180))*'Data Entry'!$B$9,"Conv. Error"))))</f>
      </c>
      <c r="F50" s="234">
        <f t="shared" si="0"/>
      </c>
      <c r="G50" s="234">
        <f t="shared" si="0"/>
      </c>
      <c r="H50" s="258"/>
      <c r="I50" s="245"/>
      <c r="J50" s="245"/>
    </row>
    <row r="51" spans="1:10" ht="12.75">
      <c r="A51" s="235">
        <f>IF(ISNUMBER('Data Entry'!$Q35),'Data Entry'!A35,"")</f>
      </c>
      <c r="B51" s="234">
        <f>IF(ISNUMBER('Data Entry'!$Q35),IF($B$3='Data Entry'!$B$8,'Data Entry'!L35,IF(AND($B$3=0,'Data Entry'!$B$8=1),'Data Entry'!L35/'Data Entry'!$B$9,IF(AND($B$3=1,'Data Entry'!$B$8=0),'Data Entry'!L35*'Data Entry'!$B$9,"Conversion Error"))),"")</f>
      </c>
      <c r="C51" s="234">
        <f>IF(ISNUMBER('Data Entry'!$Q35),IF(ISNUMBER('Data Entry'!$M35),'Data Entry'!$M35,IF(ISNUMBER('Data Entry'!$N35),'Data Entry'!$N35,"Error")),"")</f>
      </c>
      <c r="D51" s="236">
        <f>IF(('Data Entry'!$Q35=""),"",IF(($B$3='Data Entry'!$B$8),($B51*COS(((360-$B$6)-$C51+90)*PI()/180)),IF(AND($B$3=0,'Data Entry'!$B$8=1),($B51*COS(((360-$B$6)-$C51+90)*PI()/180))/'Data Entry'!$B$9,IF(AND($B$3=1,'Data Entry'!$B$8=0),($B51*COS(((360-$B$6)-$C51+90)*PI()/180))*'Data Entry'!$B$9,"Conv. Error"))))</f>
      </c>
      <c r="E51" s="237">
        <f>IF(('Data Entry'!$Q35=""),"",IF(($B$3='Data Entry'!$B$8),($B51*SIN(((360-$B$6)-$C51+90)*PI()/180)),IF(AND($B$3=0,'Data Entry'!$B$8=1),($B51*SIN(((360-$B$6)-$C51+90)*PI()/180))/'Data Entry'!$B$9,IF(AND($B$3=1,'Data Entry'!$B$8=0),($B51*SIN(((360-$B$6)-$C51+90)*PI()/180))*'Data Entry'!$B$9,"Conv. Error"))))</f>
      </c>
      <c r="F51" s="234">
        <f t="shared" si="0"/>
      </c>
      <c r="G51" s="234">
        <f t="shared" si="0"/>
      </c>
      <c r="H51" s="258"/>
      <c r="I51" s="245"/>
      <c r="J51" s="245"/>
    </row>
    <row r="52" spans="1:10" ht="12.75">
      <c r="A52" s="235">
        <f>IF(ISNUMBER('Data Entry'!$Q36),'Data Entry'!A36,"")</f>
      </c>
      <c r="B52" s="234">
        <f>IF(ISNUMBER('Data Entry'!$Q36),IF($B$3='Data Entry'!$B$8,'Data Entry'!L36,IF(AND($B$3=0,'Data Entry'!$B$8=1),'Data Entry'!L36/'Data Entry'!$B$9,IF(AND($B$3=1,'Data Entry'!$B$8=0),'Data Entry'!L36*'Data Entry'!$B$9,"Conversion Error"))),"")</f>
      </c>
      <c r="C52" s="234">
        <f>IF(ISNUMBER('Data Entry'!$Q36),IF(ISNUMBER('Data Entry'!$M36),'Data Entry'!$M36,IF(ISNUMBER('Data Entry'!$N36),'Data Entry'!$N36,"Error")),"")</f>
      </c>
      <c r="D52" s="236">
        <f>IF(('Data Entry'!$Q36=""),"",IF(($B$3='Data Entry'!$B$8),($B52*COS(((360-$B$6)-$C52+90)*PI()/180)),IF(AND($B$3=0,'Data Entry'!$B$8=1),($B52*COS(((360-$B$6)-$C52+90)*PI()/180))/'Data Entry'!$B$9,IF(AND($B$3=1,'Data Entry'!$B$8=0),($B52*COS(((360-$B$6)-$C52+90)*PI()/180))*'Data Entry'!$B$9,"Conv. Error"))))</f>
      </c>
      <c r="E52" s="237">
        <f>IF(('Data Entry'!$Q36=""),"",IF(($B$3='Data Entry'!$B$8),($B52*SIN(((360-$B$6)-$C52+90)*PI()/180)),IF(AND($B$3=0,'Data Entry'!$B$8=1),($B52*SIN(((360-$B$6)-$C52+90)*PI()/180))/'Data Entry'!$B$9,IF(AND($B$3=1,'Data Entry'!$B$8=0),($B52*SIN(((360-$B$6)-$C52+90)*PI()/180))*'Data Entry'!$B$9,"Conv. Error"))))</f>
      </c>
      <c r="F52" s="234">
        <f t="shared" si="0"/>
      </c>
      <c r="G52" s="234">
        <f t="shared" si="0"/>
      </c>
      <c r="H52" s="258"/>
      <c r="I52" s="245"/>
      <c r="J52" s="245"/>
    </row>
    <row r="53" spans="1:10" ht="12.75">
      <c r="A53" s="235">
        <f>IF(ISNUMBER('Data Entry'!$Q37),'Data Entry'!A37,"")</f>
      </c>
      <c r="B53" s="234">
        <f>IF(ISNUMBER('Data Entry'!$Q37),IF($B$3='Data Entry'!$B$8,'Data Entry'!L37,IF(AND($B$3=0,'Data Entry'!$B$8=1),'Data Entry'!L37/'Data Entry'!$B$9,IF(AND($B$3=1,'Data Entry'!$B$8=0),'Data Entry'!L37*'Data Entry'!$B$9,"Conversion Error"))),"")</f>
      </c>
      <c r="C53" s="234">
        <f>IF(ISNUMBER('Data Entry'!$Q37),IF(ISNUMBER('Data Entry'!$M37),'Data Entry'!$M37,IF(ISNUMBER('Data Entry'!$N37),'Data Entry'!$N37,"Error")),"")</f>
      </c>
      <c r="D53" s="236">
        <f>IF(('Data Entry'!$Q37=""),"",IF(($B$3='Data Entry'!$B$8),($B53*COS(((360-$B$6)-$C53+90)*PI()/180)),IF(AND($B$3=0,'Data Entry'!$B$8=1),($B53*COS(((360-$B$6)-$C53+90)*PI()/180))/'Data Entry'!$B$9,IF(AND($B$3=1,'Data Entry'!$B$8=0),($B53*COS(((360-$B$6)-$C53+90)*PI()/180))*'Data Entry'!$B$9,"Conv. Error"))))</f>
      </c>
      <c r="E53" s="237">
        <f>IF(('Data Entry'!$Q37=""),"",IF(($B$3='Data Entry'!$B$8),($B53*SIN(((360-$B$6)-$C53+90)*PI()/180)),IF(AND($B$3=0,'Data Entry'!$B$8=1),($B53*SIN(((360-$B$6)-$C53+90)*PI()/180))/'Data Entry'!$B$9,IF(AND($B$3=1,'Data Entry'!$B$8=0),($B53*SIN(((360-$B$6)-$C53+90)*PI()/180))*'Data Entry'!$B$9,"Conv. Error"))))</f>
      </c>
      <c r="F53" s="234">
        <f t="shared" si="0"/>
      </c>
      <c r="G53" s="234">
        <f t="shared" si="0"/>
      </c>
      <c r="H53" s="258"/>
      <c r="I53" s="245"/>
      <c r="J53" s="245"/>
    </row>
    <row r="54" spans="1:10" ht="12.75">
      <c r="A54" s="235">
        <f>IF(ISNUMBER('Data Entry'!$Q38),'Data Entry'!A38,"")</f>
      </c>
      <c r="B54" s="234">
        <f>IF(ISNUMBER('Data Entry'!$Q38),IF($B$3='Data Entry'!$B$8,'Data Entry'!L38,IF(AND($B$3=0,'Data Entry'!$B$8=1),'Data Entry'!L38/'Data Entry'!$B$9,IF(AND($B$3=1,'Data Entry'!$B$8=0),'Data Entry'!L38*'Data Entry'!$B$9,"Conversion Error"))),"")</f>
      </c>
      <c r="C54" s="234">
        <f>IF(ISNUMBER('Data Entry'!$Q38),IF(ISNUMBER('Data Entry'!$M38),'Data Entry'!$M38,IF(ISNUMBER('Data Entry'!$N38),'Data Entry'!$N38,"Error")),"")</f>
      </c>
      <c r="D54" s="236">
        <f>IF(('Data Entry'!$Q38=""),"",IF(($B$3='Data Entry'!$B$8),($B54*COS(((360-$B$6)-$C54+90)*PI()/180)),IF(AND($B$3=0,'Data Entry'!$B$8=1),($B54*COS(((360-$B$6)-$C54+90)*PI()/180))/'Data Entry'!$B$9,IF(AND($B$3=1,'Data Entry'!$B$8=0),($B54*COS(((360-$B$6)-$C54+90)*PI()/180))*'Data Entry'!$B$9,"Conv. Error"))))</f>
      </c>
      <c r="E54" s="237">
        <f>IF(('Data Entry'!$Q38=""),"",IF(($B$3='Data Entry'!$B$8),($B54*SIN(((360-$B$6)-$C54+90)*PI()/180)),IF(AND($B$3=0,'Data Entry'!$B$8=1),($B54*SIN(((360-$B$6)-$C54+90)*PI()/180))/'Data Entry'!$B$9,IF(AND($B$3=1,'Data Entry'!$B$8=0),($B54*SIN(((360-$B$6)-$C54+90)*PI()/180))*'Data Entry'!$B$9,"Conv. Error"))))</f>
      </c>
      <c r="F54" s="234">
        <f t="shared" si="0"/>
      </c>
      <c r="G54" s="234">
        <f t="shared" si="0"/>
      </c>
      <c r="H54" s="258"/>
      <c r="I54" s="245"/>
      <c r="J54" s="245"/>
    </row>
    <row r="55" spans="1:10" ht="12.75">
      <c r="A55" s="235">
        <f>IF(ISNUMBER('Data Entry'!$Q39),'Data Entry'!A39,"")</f>
      </c>
      <c r="B55" s="234">
        <f>IF(ISNUMBER('Data Entry'!$Q39),IF($B$3='Data Entry'!$B$8,'Data Entry'!L39,IF(AND($B$3=0,'Data Entry'!$B$8=1),'Data Entry'!L39/'Data Entry'!$B$9,IF(AND($B$3=1,'Data Entry'!$B$8=0),'Data Entry'!L39*'Data Entry'!$B$9,"Conversion Error"))),"")</f>
      </c>
      <c r="C55" s="234">
        <f>IF(ISNUMBER('Data Entry'!$Q39),IF(ISNUMBER('Data Entry'!$M39),'Data Entry'!$M39,IF(ISNUMBER('Data Entry'!$N39),'Data Entry'!$N39,"Error")),"")</f>
      </c>
      <c r="D55" s="236">
        <f>IF(('Data Entry'!$Q39=""),"",IF(($B$3='Data Entry'!$B$8),($B55*COS(((360-$B$6)-$C55+90)*PI()/180)),IF(AND($B$3=0,'Data Entry'!$B$8=1),($B55*COS(((360-$B$6)-$C55+90)*PI()/180))/'Data Entry'!$B$9,IF(AND($B$3=1,'Data Entry'!$B$8=0),($B55*COS(((360-$B$6)-$C55+90)*PI()/180))*'Data Entry'!$B$9,"Conv. Error"))))</f>
      </c>
      <c r="E55" s="237">
        <f>IF(('Data Entry'!$Q39=""),"",IF(($B$3='Data Entry'!$B$8),($B55*SIN(((360-$B$6)-$C55+90)*PI()/180)),IF(AND($B$3=0,'Data Entry'!$B$8=1),($B55*SIN(((360-$B$6)-$C55+90)*PI()/180))/'Data Entry'!$B$9,IF(AND($B$3=1,'Data Entry'!$B$8=0),($B55*SIN(((360-$B$6)-$C55+90)*PI()/180))*'Data Entry'!$B$9,"Conv. Error"))))</f>
      </c>
      <c r="F55" s="234">
        <f t="shared" si="0"/>
      </c>
      <c r="G55" s="234">
        <f t="shared" si="0"/>
      </c>
      <c r="H55" s="258"/>
      <c r="I55" s="245"/>
      <c r="J55" s="245"/>
    </row>
    <row r="56" spans="1:10" ht="12.75">
      <c r="A56" s="235">
        <f>IF(ISNUMBER('Data Entry'!$Q40),'Data Entry'!A40,"")</f>
      </c>
      <c r="B56" s="234">
        <f>IF(ISNUMBER('Data Entry'!$Q40),IF($B$3='Data Entry'!$B$8,'Data Entry'!L40,IF(AND($B$3=0,'Data Entry'!$B$8=1),'Data Entry'!L40/'Data Entry'!$B$9,IF(AND($B$3=1,'Data Entry'!$B$8=0),'Data Entry'!L40*'Data Entry'!$B$9,"Conversion Error"))),"")</f>
      </c>
      <c r="C56" s="234">
        <f>IF(ISNUMBER('Data Entry'!$Q40),IF(ISNUMBER('Data Entry'!$M40),'Data Entry'!$M40,IF(ISNUMBER('Data Entry'!$N40),'Data Entry'!$N40,"Error")),"")</f>
      </c>
      <c r="D56" s="236">
        <f>IF(('Data Entry'!$Q40=""),"",IF(($B$3='Data Entry'!$B$8),($B56*COS(((360-$B$6)-$C56+90)*PI()/180)),IF(AND($B$3=0,'Data Entry'!$B$8=1),($B56*COS(((360-$B$6)-$C56+90)*PI()/180))/'Data Entry'!$B$9,IF(AND($B$3=1,'Data Entry'!$B$8=0),($B56*COS(((360-$B$6)-$C56+90)*PI()/180))*'Data Entry'!$B$9,"Conv. Error"))))</f>
      </c>
      <c r="E56" s="237">
        <f>IF(('Data Entry'!$Q40=""),"",IF(($B$3='Data Entry'!$B$8),($B56*SIN(((360-$B$6)-$C56+90)*PI()/180)),IF(AND($B$3=0,'Data Entry'!$B$8=1),($B56*SIN(((360-$B$6)-$C56+90)*PI()/180))/'Data Entry'!$B$9,IF(AND($B$3=1,'Data Entry'!$B$8=0),($B56*SIN(((360-$B$6)-$C56+90)*PI()/180))*'Data Entry'!$B$9,"Conv. Error"))))</f>
      </c>
      <c r="F56" s="234">
        <f t="shared" si="0"/>
      </c>
      <c r="G56" s="234">
        <f t="shared" si="0"/>
      </c>
      <c r="H56" s="258"/>
      <c r="I56" s="245"/>
      <c r="J56" s="245"/>
    </row>
    <row r="57" spans="1:10" ht="12.75">
      <c r="A57" s="235">
        <f>IF(ISNUMBER('Data Entry'!$Q41),'Data Entry'!A41,"")</f>
      </c>
      <c r="B57" s="234">
        <f>IF(ISNUMBER('Data Entry'!$Q41),IF($B$3='Data Entry'!$B$8,'Data Entry'!L41,IF(AND($B$3=0,'Data Entry'!$B$8=1),'Data Entry'!L41/'Data Entry'!$B$9,IF(AND($B$3=1,'Data Entry'!$B$8=0),'Data Entry'!L41*'Data Entry'!$B$9,"Conversion Error"))),"")</f>
      </c>
      <c r="C57" s="234">
        <f>IF(ISNUMBER('Data Entry'!$Q41),IF(ISNUMBER('Data Entry'!$M41),'Data Entry'!$M41,IF(ISNUMBER('Data Entry'!$N41),'Data Entry'!$N41,"Error")),"")</f>
      </c>
      <c r="D57" s="236">
        <f>IF(('Data Entry'!$Q41=""),"",IF(($B$3='Data Entry'!$B$8),($B57*COS(((360-$B$6)-$C57+90)*PI()/180)),IF(AND($B$3=0,'Data Entry'!$B$8=1),($B57*COS(((360-$B$6)-$C57+90)*PI()/180))/'Data Entry'!$B$9,IF(AND($B$3=1,'Data Entry'!$B$8=0),($B57*COS(((360-$B$6)-$C57+90)*PI()/180))*'Data Entry'!$B$9,"Conv. Error"))))</f>
      </c>
      <c r="E57" s="237">
        <f>IF(('Data Entry'!$Q41=""),"",IF(($B$3='Data Entry'!$B$8),($B57*SIN(((360-$B$6)-$C57+90)*PI()/180)),IF(AND($B$3=0,'Data Entry'!$B$8=1),($B57*SIN(((360-$B$6)-$C57+90)*PI()/180))/'Data Entry'!$B$9,IF(AND($B$3=1,'Data Entry'!$B$8=0),($B57*SIN(((360-$B$6)-$C57+90)*PI()/180))*'Data Entry'!$B$9,"Conv. Error"))))</f>
      </c>
      <c r="F57" s="234">
        <f t="shared" si="0"/>
      </c>
      <c r="G57" s="234">
        <f t="shared" si="0"/>
      </c>
      <c r="H57" s="258"/>
      <c r="I57" s="245"/>
      <c r="J57" s="245"/>
    </row>
    <row r="58" spans="1:10" ht="12.75">
      <c r="A58" s="235">
        <f>IF(ISNUMBER('Data Entry'!$Q42),'Data Entry'!A42,"")</f>
      </c>
      <c r="B58" s="234">
        <f>IF(ISNUMBER('Data Entry'!$Q42),IF($B$3='Data Entry'!$B$8,'Data Entry'!L42,IF(AND($B$3=0,'Data Entry'!$B$8=1),'Data Entry'!L42/'Data Entry'!$B$9,IF(AND($B$3=1,'Data Entry'!$B$8=0),'Data Entry'!L42*'Data Entry'!$B$9,"Conversion Error"))),"")</f>
      </c>
      <c r="C58" s="234">
        <f>IF(ISNUMBER('Data Entry'!$Q42),IF(ISNUMBER('Data Entry'!$M42),'Data Entry'!$M42,IF(ISNUMBER('Data Entry'!$N42),'Data Entry'!$N42,"Error")),"")</f>
      </c>
      <c r="D58" s="236">
        <f>IF(('Data Entry'!$Q42=""),"",IF(($B$3='Data Entry'!$B$8),($B58*COS(((360-$B$6)-$C58+90)*PI()/180)),IF(AND($B$3=0,'Data Entry'!$B$8=1),($B58*COS(((360-$B$6)-$C58+90)*PI()/180))/'Data Entry'!$B$9,IF(AND($B$3=1,'Data Entry'!$B$8=0),($B58*COS(((360-$B$6)-$C58+90)*PI()/180))*'Data Entry'!$B$9,"Conv. Error"))))</f>
      </c>
      <c r="E58" s="237">
        <f>IF(('Data Entry'!$Q42=""),"",IF(($B$3='Data Entry'!$B$8),($B58*SIN(((360-$B$6)-$C58+90)*PI()/180)),IF(AND($B$3=0,'Data Entry'!$B$8=1),($B58*SIN(((360-$B$6)-$C58+90)*PI()/180))/'Data Entry'!$B$9,IF(AND($B$3=1,'Data Entry'!$B$8=0),($B58*SIN(((360-$B$6)-$C58+90)*PI()/180))*'Data Entry'!$B$9,"Conv. Error"))))</f>
      </c>
      <c r="F58" s="234">
        <f t="shared" si="0"/>
      </c>
      <c r="G58" s="234">
        <f t="shared" si="0"/>
      </c>
      <c r="H58" s="258"/>
      <c r="I58" s="245"/>
      <c r="J58" s="245"/>
    </row>
    <row r="59" spans="1:10" ht="12.75">
      <c r="A59" s="235">
        <f>IF(ISNUMBER('Data Entry'!$Q43),'Data Entry'!A43,"")</f>
      </c>
      <c r="B59" s="234">
        <f>IF(ISNUMBER('Data Entry'!$Q43),IF($B$3='Data Entry'!$B$8,'Data Entry'!L43,IF(AND($B$3=0,'Data Entry'!$B$8=1),'Data Entry'!L43/'Data Entry'!$B$9,IF(AND($B$3=1,'Data Entry'!$B$8=0),'Data Entry'!L43*'Data Entry'!$B$9,"Conversion Error"))),"")</f>
      </c>
      <c r="C59" s="234">
        <f>IF(ISNUMBER('Data Entry'!$Q43),IF(ISNUMBER('Data Entry'!$M43),'Data Entry'!$M43,IF(ISNUMBER('Data Entry'!$N43),'Data Entry'!$N43,"Error")),"")</f>
      </c>
      <c r="D59" s="236">
        <f>IF(('Data Entry'!$Q43=""),"",IF(($B$3='Data Entry'!$B$8),($B59*COS(((360-$B$6)-$C59+90)*PI()/180)),IF(AND($B$3=0,'Data Entry'!$B$8=1),($B59*COS(((360-$B$6)-$C59+90)*PI()/180))/'Data Entry'!$B$9,IF(AND($B$3=1,'Data Entry'!$B$8=0),($B59*COS(((360-$B$6)-$C59+90)*PI()/180))*'Data Entry'!$B$9,"Conv. Error"))))</f>
      </c>
      <c r="E59" s="237">
        <f>IF(('Data Entry'!$Q43=""),"",IF(($B$3='Data Entry'!$B$8),($B59*SIN(((360-$B$6)-$C59+90)*PI()/180)),IF(AND($B$3=0,'Data Entry'!$B$8=1),($B59*SIN(((360-$B$6)-$C59+90)*PI()/180))/'Data Entry'!$B$9,IF(AND($B$3=1,'Data Entry'!$B$8=0),($B59*SIN(((360-$B$6)-$C59+90)*PI()/180))*'Data Entry'!$B$9,"Conv. Error"))))</f>
      </c>
      <c r="F59" s="234">
        <f t="shared" si="0"/>
      </c>
      <c r="G59" s="234">
        <f t="shared" si="0"/>
      </c>
      <c r="H59" s="258"/>
      <c r="I59" s="245"/>
      <c r="J59" s="245"/>
    </row>
    <row r="60" spans="1:10" ht="12.75">
      <c r="A60" s="235">
        <f>IF(ISNUMBER('Data Entry'!$Q44),'Data Entry'!A44,"")</f>
      </c>
      <c r="B60" s="234">
        <f>IF(ISNUMBER('Data Entry'!$Q44),IF($B$3='Data Entry'!$B$8,'Data Entry'!L44,IF(AND($B$3=0,'Data Entry'!$B$8=1),'Data Entry'!L44/'Data Entry'!$B$9,IF(AND($B$3=1,'Data Entry'!$B$8=0),'Data Entry'!L44*'Data Entry'!$B$9,"Conversion Error"))),"")</f>
      </c>
      <c r="C60" s="234">
        <f>IF(ISNUMBER('Data Entry'!$Q44),IF(ISNUMBER('Data Entry'!$M44),'Data Entry'!$M44,IF(ISNUMBER('Data Entry'!$N44),'Data Entry'!$N44,"Error")),"")</f>
      </c>
      <c r="D60" s="236">
        <f>IF(('Data Entry'!$Q44=""),"",IF(($B$3='Data Entry'!$B$8),($B60*COS(((360-$B$6)-$C60+90)*PI()/180)),IF(AND($B$3=0,'Data Entry'!$B$8=1),($B60*COS(((360-$B$6)-$C60+90)*PI()/180))/'Data Entry'!$B$9,IF(AND($B$3=1,'Data Entry'!$B$8=0),($B60*COS(((360-$B$6)-$C60+90)*PI()/180))*'Data Entry'!$B$9,"Conv. Error"))))</f>
      </c>
      <c r="E60" s="237">
        <f>IF(('Data Entry'!$Q44=""),"",IF(($B$3='Data Entry'!$B$8),($B60*SIN(((360-$B$6)-$C60+90)*PI()/180)),IF(AND($B$3=0,'Data Entry'!$B$8=1),($B60*SIN(((360-$B$6)-$C60+90)*PI()/180))/'Data Entry'!$B$9,IF(AND($B$3=1,'Data Entry'!$B$8=0),($B60*SIN(((360-$B$6)-$C60+90)*PI()/180))*'Data Entry'!$B$9,"Conv. Error"))))</f>
      </c>
      <c r="F60" s="234">
        <f t="shared" si="0"/>
      </c>
      <c r="G60" s="234">
        <f t="shared" si="0"/>
      </c>
      <c r="H60" s="258"/>
      <c r="I60" s="245"/>
      <c r="J60" s="245"/>
    </row>
    <row r="61" spans="1:10" ht="12.75">
      <c r="A61" s="235">
        <f>IF(ISNUMBER('Data Entry'!$Q45),'Data Entry'!A45,"")</f>
      </c>
      <c r="B61" s="234">
        <f>IF(ISNUMBER('Data Entry'!$Q45),IF($B$3='Data Entry'!$B$8,'Data Entry'!L45,IF(AND($B$3=0,'Data Entry'!$B$8=1),'Data Entry'!L45/'Data Entry'!$B$9,IF(AND($B$3=1,'Data Entry'!$B$8=0),'Data Entry'!L45*'Data Entry'!$B$9,"Conversion Error"))),"")</f>
      </c>
      <c r="C61" s="234">
        <f>IF(ISNUMBER('Data Entry'!$Q45),IF(ISNUMBER('Data Entry'!$M45),'Data Entry'!$M45,IF(ISNUMBER('Data Entry'!$N45),'Data Entry'!$N45,"Error")),"")</f>
      </c>
      <c r="D61" s="236">
        <f>IF(('Data Entry'!$Q45=""),"",IF(($B$3='Data Entry'!$B$8),($B61*COS(((360-$B$6)-$C61+90)*PI()/180)),IF(AND($B$3=0,'Data Entry'!$B$8=1),($B61*COS(((360-$B$6)-$C61+90)*PI()/180))/'Data Entry'!$B$9,IF(AND($B$3=1,'Data Entry'!$B$8=0),($B61*COS(((360-$B$6)-$C61+90)*PI()/180))*'Data Entry'!$B$9,"Conv. Error"))))</f>
      </c>
      <c r="E61" s="237">
        <f>IF(('Data Entry'!$Q45=""),"",IF(($B$3='Data Entry'!$B$8),($B61*SIN(((360-$B$6)-$C61+90)*PI()/180)),IF(AND($B$3=0,'Data Entry'!$B$8=1),($B61*SIN(((360-$B$6)-$C61+90)*PI()/180))/'Data Entry'!$B$9,IF(AND($B$3=1,'Data Entry'!$B$8=0),($B61*SIN(((360-$B$6)-$C61+90)*PI()/180))*'Data Entry'!$B$9,"Conv. Error"))))</f>
      </c>
      <c r="F61" s="234">
        <f t="shared" si="0"/>
      </c>
      <c r="G61" s="234">
        <f t="shared" si="0"/>
      </c>
      <c r="H61" s="258"/>
      <c r="I61" s="245"/>
      <c r="J61" s="245"/>
    </row>
    <row r="62" spans="1:10" ht="12.75">
      <c r="A62" s="235">
        <f>IF(ISNUMBER('Data Entry'!$Q46),'Data Entry'!A46,"")</f>
      </c>
      <c r="B62" s="234">
        <f>IF(ISNUMBER('Data Entry'!$Q46),IF($B$3='Data Entry'!$B$8,'Data Entry'!L46,IF(AND($B$3=0,'Data Entry'!$B$8=1),'Data Entry'!L46/'Data Entry'!$B$9,IF(AND($B$3=1,'Data Entry'!$B$8=0),'Data Entry'!L46*'Data Entry'!$B$9,"Conversion Error"))),"")</f>
      </c>
      <c r="C62" s="234">
        <f>IF(ISNUMBER('Data Entry'!$Q46),IF(ISNUMBER('Data Entry'!$M46),'Data Entry'!$M46,IF(ISNUMBER('Data Entry'!$N46),'Data Entry'!$N46,"Error")),"")</f>
      </c>
      <c r="D62" s="236">
        <f>IF(('Data Entry'!$Q46=""),"",IF(($B$3='Data Entry'!$B$8),($B62*COS(((360-$B$6)-$C62+90)*PI()/180)),IF(AND($B$3=0,'Data Entry'!$B$8=1),($B62*COS(((360-$B$6)-$C62+90)*PI()/180))/'Data Entry'!$B$9,IF(AND($B$3=1,'Data Entry'!$B$8=0),($B62*COS(((360-$B$6)-$C62+90)*PI()/180))*'Data Entry'!$B$9,"Conv. Error"))))</f>
      </c>
      <c r="E62" s="237">
        <f>IF(('Data Entry'!$Q46=""),"",IF(($B$3='Data Entry'!$B$8),($B62*SIN(((360-$B$6)-$C62+90)*PI()/180)),IF(AND($B$3=0,'Data Entry'!$B$8=1),($B62*SIN(((360-$B$6)-$C62+90)*PI()/180))/'Data Entry'!$B$9,IF(AND($B$3=1,'Data Entry'!$B$8=0),($B62*SIN(((360-$B$6)-$C62+90)*PI()/180))*'Data Entry'!$B$9,"Conv. Error"))))</f>
      </c>
      <c r="F62" s="234">
        <f t="shared" si="0"/>
      </c>
      <c r="G62" s="234">
        <f t="shared" si="0"/>
      </c>
      <c r="H62" s="258"/>
      <c r="I62" s="245"/>
      <c r="J62" s="245"/>
    </row>
    <row r="63" spans="1:10" ht="12.75">
      <c r="A63" s="235">
        <f>IF(ISNUMBER('Data Entry'!$Q47),'Data Entry'!A47,"")</f>
      </c>
      <c r="B63" s="234">
        <f>IF(ISNUMBER('Data Entry'!$Q47),IF($B$3='Data Entry'!$B$8,'Data Entry'!L47,IF(AND($B$3=0,'Data Entry'!$B$8=1),'Data Entry'!L47/'Data Entry'!$B$9,IF(AND($B$3=1,'Data Entry'!$B$8=0),'Data Entry'!L47*'Data Entry'!$B$9,"Conversion Error"))),"")</f>
      </c>
      <c r="C63" s="234">
        <f>IF(ISNUMBER('Data Entry'!$Q47),IF(ISNUMBER('Data Entry'!$M47),'Data Entry'!$M47,IF(ISNUMBER('Data Entry'!$N47),'Data Entry'!$N47,"Error")),"")</f>
      </c>
      <c r="D63" s="236">
        <f>IF(('Data Entry'!$Q47=""),"",IF(($B$3='Data Entry'!$B$8),($B63*COS(((360-$B$6)-$C63+90)*PI()/180)),IF(AND($B$3=0,'Data Entry'!$B$8=1),($B63*COS(((360-$B$6)-$C63+90)*PI()/180))/'Data Entry'!$B$9,IF(AND($B$3=1,'Data Entry'!$B$8=0),($B63*COS(((360-$B$6)-$C63+90)*PI()/180))*'Data Entry'!$B$9,"Conv. Error"))))</f>
      </c>
      <c r="E63" s="237">
        <f>IF(('Data Entry'!$Q47=""),"",IF(($B$3='Data Entry'!$B$8),($B63*SIN(((360-$B$6)-$C63+90)*PI()/180)),IF(AND($B$3=0,'Data Entry'!$B$8=1),($B63*SIN(((360-$B$6)-$C63+90)*PI()/180))/'Data Entry'!$B$9,IF(AND($B$3=1,'Data Entry'!$B$8=0),($B63*SIN(((360-$B$6)-$C63+90)*PI()/180))*'Data Entry'!$B$9,"Conv. Error"))))</f>
      </c>
      <c r="F63" s="234">
        <f t="shared" si="0"/>
      </c>
      <c r="G63" s="234">
        <f t="shared" si="0"/>
      </c>
      <c r="H63" s="258"/>
      <c r="I63" s="245"/>
      <c r="J63" s="245"/>
    </row>
    <row r="64" spans="1:10" ht="12.75">
      <c r="A64" s="235">
        <f>IF(ISNUMBER('Data Entry'!$Q48),'Data Entry'!A48,"")</f>
      </c>
      <c r="B64" s="234">
        <f>IF(ISNUMBER('Data Entry'!$Q48),IF($B$3='Data Entry'!$B$8,'Data Entry'!L48,IF(AND($B$3=0,'Data Entry'!$B$8=1),'Data Entry'!L48/'Data Entry'!$B$9,IF(AND($B$3=1,'Data Entry'!$B$8=0),'Data Entry'!L48*'Data Entry'!$B$9,"Conversion Error"))),"")</f>
      </c>
      <c r="C64" s="234">
        <f>IF(ISNUMBER('Data Entry'!$Q48),IF(ISNUMBER('Data Entry'!$M48),'Data Entry'!$M48,IF(ISNUMBER('Data Entry'!$N48),'Data Entry'!$N48,"Error")),"")</f>
      </c>
      <c r="D64" s="236">
        <f>IF(('Data Entry'!$Q48=""),"",IF(($B$3='Data Entry'!$B$8),($B64*COS(((360-$B$6)-$C64+90)*PI()/180)),IF(AND($B$3=0,'Data Entry'!$B$8=1),($B64*COS(((360-$B$6)-$C64+90)*PI()/180))/'Data Entry'!$B$9,IF(AND($B$3=1,'Data Entry'!$B$8=0),($B64*COS(((360-$B$6)-$C64+90)*PI()/180))*'Data Entry'!$B$9,"Conv. Error"))))</f>
      </c>
      <c r="E64" s="237">
        <f>IF(('Data Entry'!$Q48=""),"",IF(($B$3='Data Entry'!$B$8),($B64*SIN(((360-$B$6)-$C64+90)*PI()/180)),IF(AND($B$3=0,'Data Entry'!$B$8=1),($B64*SIN(((360-$B$6)-$C64+90)*PI()/180))/'Data Entry'!$B$9,IF(AND($B$3=1,'Data Entry'!$B$8=0),($B64*SIN(((360-$B$6)-$C64+90)*PI()/180))*'Data Entry'!$B$9,"Conv. Error"))))</f>
      </c>
      <c r="F64" s="234">
        <f t="shared" si="0"/>
      </c>
      <c r="G64" s="234">
        <f t="shared" si="0"/>
      </c>
      <c r="H64" s="258"/>
      <c r="I64" s="245"/>
      <c r="J64" s="245"/>
    </row>
    <row r="65" spans="1:10" ht="12.75">
      <c r="A65" s="235">
        <f>IF(ISNUMBER('Data Entry'!$Q49),'Data Entry'!A49,"")</f>
      </c>
      <c r="B65" s="234">
        <f>IF(ISNUMBER('Data Entry'!$Q49),IF($B$3='Data Entry'!$B$8,'Data Entry'!L49,IF(AND($B$3=0,'Data Entry'!$B$8=1),'Data Entry'!L49/'Data Entry'!$B$9,IF(AND($B$3=1,'Data Entry'!$B$8=0),'Data Entry'!L49*'Data Entry'!$B$9,"Conversion Error"))),"")</f>
      </c>
      <c r="C65" s="234">
        <f>IF(ISNUMBER('Data Entry'!$Q49),IF(ISNUMBER('Data Entry'!$M49),'Data Entry'!$M49,IF(ISNUMBER('Data Entry'!$N49),'Data Entry'!$N49,"Error")),"")</f>
      </c>
      <c r="D65" s="236">
        <f>IF(('Data Entry'!$Q49=""),"",IF(($B$3='Data Entry'!$B$8),($B65*COS(((360-$B$6)-$C65+90)*PI()/180)),IF(AND($B$3=0,'Data Entry'!$B$8=1),($B65*COS(((360-$B$6)-$C65+90)*PI()/180))/'Data Entry'!$B$9,IF(AND($B$3=1,'Data Entry'!$B$8=0),($B65*COS(((360-$B$6)-$C65+90)*PI()/180))*'Data Entry'!$B$9,"Conv. Error"))))</f>
      </c>
      <c r="E65" s="237">
        <f>IF(('Data Entry'!$Q49=""),"",IF(($B$3='Data Entry'!$B$8),($B65*SIN(((360-$B$6)-$C65+90)*PI()/180)),IF(AND($B$3=0,'Data Entry'!$B$8=1),($B65*SIN(((360-$B$6)-$C65+90)*PI()/180))/'Data Entry'!$B$9,IF(AND($B$3=1,'Data Entry'!$B$8=0),($B65*SIN(((360-$B$6)-$C65+90)*PI()/180))*'Data Entry'!$B$9,"Conv. Error"))))</f>
      </c>
      <c r="F65" s="234">
        <f t="shared" si="0"/>
      </c>
      <c r="G65" s="234">
        <f t="shared" si="0"/>
      </c>
      <c r="H65" s="258"/>
      <c r="I65" s="245"/>
      <c r="J65" s="245"/>
    </row>
    <row r="66" spans="1:10" ht="12.75">
      <c r="A66" s="235">
        <f>IF(ISNUMBER('Data Entry'!$Q50),'Data Entry'!A50,"")</f>
      </c>
      <c r="B66" s="234">
        <f>IF(ISNUMBER('Data Entry'!$Q50),IF($B$3='Data Entry'!$B$8,'Data Entry'!L50,IF(AND($B$3=0,'Data Entry'!$B$8=1),'Data Entry'!L50/'Data Entry'!$B$9,IF(AND($B$3=1,'Data Entry'!$B$8=0),'Data Entry'!L50*'Data Entry'!$B$9,"Conversion Error"))),"")</f>
      </c>
      <c r="C66" s="234">
        <f>IF(ISNUMBER('Data Entry'!$Q50),IF(ISNUMBER('Data Entry'!$M50),'Data Entry'!$M50,IF(ISNUMBER('Data Entry'!$N50),'Data Entry'!$N50,"Error")),"")</f>
      </c>
      <c r="D66" s="236">
        <f>IF(('Data Entry'!$Q50=""),"",IF(($B$3='Data Entry'!$B$8),($B66*COS(((360-$B$6)-$C66+90)*PI()/180)),IF(AND($B$3=0,'Data Entry'!$B$8=1),($B66*COS(((360-$B$6)-$C66+90)*PI()/180))/'Data Entry'!$B$9,IF(AND($B$3=1,'Data Entry'!$B$8=0),($B66*COS(((360-$B$6)-$C66+90)*PI()/180))*'Data Entry'!$B$9,"Conv. Error"))))</f>
      </c>
      <c r="E66" s="237">
        <f>IF(('Data Entry'!$Q50=""),"",IF(($B$3='Data Entry'!$B$8),($B66*SIN(((360-$B$6)-$C66+90)*PI()/180)),IF(AND($B$3=0,'Data Entry'!$B$8=1),($B66*SIN(((360-$B$6)-$C66+90)*PI()/180))/'Data Entry'!$B$9,IF(AND($B$3=1,'Data Entry'!$B$8=0),($B66*SIN(((360-$B$6)-$C66+90)*PI()/180))*'Data Entry'!$B$9,"Conv. Error"))))</f>
      </c>
      <c r="F66" s="234">
        <f t="shared" si="0"/>
      </c>
      <c r="G66" s="234">
        <f t="shared" si="0"/>
      </c>
      <c r="H66" s="258"/>
      <c r="I66" s="245"/>
      <c r="J66" s="245"/>
    </row>
    <row r="67" spans="1:10" ht="12.75">
      <c r="A67" s="235">
        <f>IF(ISNUMBER('Data Entry'!$Q51),'Data Entry'!A51,"")</f>
      </c>
      <c r="B67" s="234">
        <f>IF(ISNUMBER('Data Entry'!$Q51),IF($B$3='Data Entry'!$B$8,'Data Entry'!L51,IF(AND($B$3=0,'Data Entry'!$B$8=1),'Data Entry'!L51/'Data Entry'!$B$9,IF(AND($B$3=1,'Data Entry'!$B$8=0),'Data Entry'!L51*'Data Entry'!$B$9,"Conversion Error"))),"")</f>
      </c>
      <c r="C67" s="234">
        <f>IF(ISNUMBER('Data Entry'!$Q51),IF(ISNUMBER('Data Entry'!$M51),'Data Entry'!$M51,IF(ISNUMBER('Data Entry'!$N51),'Data Entry'!$N51,"Error")),"")</f>
      </c>
      <c r="D67" s="236">
        <f>IF(('Data Entry'!$Q51=""),"",IF(($B$3='Data Entry'!$B$8),($B67*COS(((360-$B$6)-$C67+90)*PI()/180)),IF(AND($B$3=0,'Data Entry'!$B$8=1),($B67*COS(((360-$B$6)-$C67+90)*PI()/180))/'Data Entry'!$B$9,IF(AND($B$3=1,'Data Entry'!$B$8=0),($B67*COS(((360-$B$6)-$C67+90)*PI()/180))*'Data Entry'!$B$9,"Conv. Error"))))</f>
      </c>
      <c r="E67" s="237">
        <f>IF(('Data Entry'!$Q51=""),"",IF(($B$3='Data Entry'!$B$8),($B67*SIN(((360-$B$6)-$C67+90)*PI()/180)),IF(AND($B$3=0,'Data Entry'!$B$8=1),($B67*SIN(((360-$B$6)-$C67+90)*PI()/180))/'Data Entry'!$B$9,IF(AND($B$3=1,'Data Entry'!$B$8=0),($B67*SIN(((360-$B$6)-$C67+90)*PI()/180))*'Data Entry'!$B$9,"Conv. Error"))))</f>
      </c>
      <c r="F67" s="234">
        <f t="shared" si="0"/>
      </c>
      <c r="G67" s="234">
        <f t="shared" si="0"/>
      </c>
      <c r="H67" s="258"/>
      <c r="I67" s="245"/>
      <c r="J67" s="245"/>
    </row>
    <row r="68" spans="1:10" ht="12.75">
      <c r="A68" s="235">
        <f>IF(ISNUMBER('Data Entry'!$Q52),'Data Entry'!A52,"")</f>
      </c>
      <c r="B68" s="234">
        <f>IF(ISNUMBER('Data Entry'!$Q52),IF($B$3='Data Entry'!$B$8,'Data Entry'!L52,IF(AND($B$3=0,'Data Entry'!$B$8=1),'Data Entry'!L52/'Data Entry'!$B$9,IF(AND($B$3=1,'Data Entry'!$B$8=0),'Data Entry'!L52*'Data Entry'!$B$9,"Conversion Error"))),"")</f>
      </c>
      <c r="C68" s="234">
        <f>IF(ISNUMBER('Data Entry'!$Q52),IF(ISNUMBER('Data Entry'!$M52),'Data Entry'!$M52,IF(ISNUMBER('Data Entry'!$N52),'Data Entry'!$N52,"Error")),"")</f>
      </c>
      <c r="D68" s="236">
        <f>IF(('Data Entry'!$Q52=""),"",IF(($B$3='Data Entry'!$B$8),($B68*COS(((360-$B$6)-$C68+90)*PI()/180)),IF(AND($B$3=0,'Data Entry'!$B$8=1),($B68*COS(((360-$B$6)-$C68+90)*PI()/180))/'Data Entry'!$B$9,IF(AND($B$3=1,'Data Entry'!$B$8=0),($B68*COS(((360-$B$6)-$C68+90)*PI()/180))*'Data Entry'!$B$9,"Conv. Error"))))</f>
      </c>
      <c r="E68" s="237">
        <f>IF(('Data Entry'!$Q52=""),"",IF(($B$3='Data Entry'!$B$8),($B68*SIN(((360-$B$6)-$C68+90)*PI()/180)),IF(AND($B$3=0,'Data Entry'!$B$8=1),($B68*SIN(((360-$B$6)-$C68+90)*PI()/180))/'Data Entry'!$B$9,IF(AND($B$3=1,'Data Entry'!$B$8=0),($B68*SIN(((360-$B$6)-$C68+90)*PI()/180))*'Data Entry'!$B$9,"Conv. Error"))))</f>
      </c>
      <c r="F68" s="234">
        <f t="shared" si="0"/>
      </c>
      <c r="G68" s="234">
        <f t="shared" si="0"/>
      </c>
      <c r="H68" s="258"/>
      <c r="I68" s="245"/>
      <c r="J68" s="245"/>
    </row>
    <row r="69" spans="1:10" ht="12.75">
      <c r="A69" s="235">
        <f>IF(ISNUMBER('Data Entry'!$Q53),'Data Entry'!A53,"")</f>
      </c>
      <c r="B69" s="234">
        <f>IF(ISNUMBER('Data Entry'!$Q53),IF($B$3='Data Entry'!$B$8,'Data Entry'!L53,IF(AND($B$3=0,'Data Entry'!$B$8=1),'Data Entry'!L53/'Data Entry'!$B$9,IF(AND($B$3=1,'Data Entry'!$B$8=0),'Data Entry'!L53*'Data Entry'!$B$9,"Conversion Error"))),"")</f>
      </c>
      <c r="C69" s="234">
        <f>IF(ISNUMBER('Data Entry'!$Q53),IF(ISNUMBER('Data Entry'!$M53),'Data Entry'!$M53,IF(ISNUMBER('Data Entry'!$N53),'Data Entry'!$N53,"Error")),"")</f>
      </c>
      <c r="D69" s="236">
        <f>IF(('Data Entry'!$Q53=""),"",IF(($B$3='Data Entry'!$B$8),($B69*COS(((360-$B$6)-$C69+90)*PI()/180)),IF(AND($B$3=0,'Data Entry'!$B$8=1),($B69*COS(((360-$B$6)-$C69+90)*PI()/180))/'Data Entry'!$B$9,IF(AND($B$3=1,'Data Entry'!$B$8=0),($B69*COS(((360-$B$6)-$C69+90)*PI()/180))*'Data Entry'!$B$9,"Conv. Error"))))</f>
      </c>
      <c r="E69" s="237">
        <f>IF(('Data Entry'!$Q53=""),"",IF(($B$3='Data Entry'!$B$8),($B69*SIN(((360-$B$6)-$C69+90)*PI()/180)),IF(AND($B$3=0,'Data Entry'!$B$8=1),($B69*SIN(((360-$B$6)-$C69+90)*PI()/180))/'Data Entry'!$B$9,IF(AND($B$3=1,'Data Entry'!$B$8=0),($B69*SIN(((360-$B$6)-$C69+90)*PI()/180))*'Data Entry'!$B$9,"Conv. Error"))))</f>
      </c>
      <c r="F69" s="234">
        <f t="shared" si="0"/>
      </c>
      <c r="G69" s="234">
        <f t="shared" si="0"/>
      </c>
      <c r="H69" s="258"/>
      <c r="I69" s="245"/>
      <c r="J69" s="245"/>
    </row>
    <row r="70" spans="1:10" ht="12.75">
      <c r="A70" s="235">
        <f>IF(ISNUMBER('Data Entry'!$Q54),'Data Entry'!A54,"")</f>
      </c>
      <c r="B70" s="234">
        <f>IF(ISNUMBER('Data Entry'!$Q54),IF($B$3='Data Entry'!$B$8,'Data Entry'!L54,IF(AND($B$3=0,'Data Entry'!$B$8=1),'Data Entry'!L54/'Data Entry'!$B$9,IF(AND($B$3=1,'Data Entry'!$B$8=0),'Data Entry'!L54*'Data Entry'!$B$9,"Conversion Error"))),"")</f>
      </c>
      <c r="C70" s="234">
        <f>IF(ISNUMBER('Data Entry'!$Q54),IF(ISNUMBER('Data Entry'!$M54),'Data Entry'!$M54,IF(ISNUMBER('Data Entry'!$N54),'Data Entry'!$N54,"Error")),"")</f>
      </c>
      <c r="D70" s="236">
        <f>IF(('Data Entry'!$Q54=""),"",IF(($B$3='Data Entry'!$B$8),($B70*COS(((360-$B$6)-$C70+90)*PI()/180)),IF(AND($B$3=0,'Data Entry'!$B$8=1),($B70*COS(((360-$B$6)-$C70+90)*PI()/180))/'Data Entry'!$B$9,IF(AND($B$3=1,'Data Entry'!$B$8=0),($B70*COS(((360-$B$6)-$C70+90)*PI()/180))*'Data Entry'!$B$9,"Conv. Error"))))</f>
      </c>
      <c r="E70" s="237">
        <f>IF(('Data Entry'!$Q54=""),"",IF(($B$3='Data Entry'!$B$8),($B70*SIN(((360-$B$6)-$C70+90)*PI()/180)),IF(AND($B$3=0,'Data Entry'!$B$8=1),($B70*SIN(((360-$B$6)-$C70+90)*PI()/180))/'Data Entry'!$B$9,IF(AND($B$3=1,'Data Entry'!$B$8=0),($B70*SIN(((360-$B$6)-$C70+90)*PI()/180))*'Data Entry'!$B$9,"Conv. Error"))))</f>
      </c>
      <c r="F70" s="234">
        <f t="shared" si="0"/>
      </c>
      <c r="G70" s="234">
        <f t="shared" si="0"/>
      </c>
      <c r="H70" s="258"/>
      <c r="I70" s="245"/>
      <c r="J70" s="245"/>
    </row>
    <row r="71" spans="1:10" ht="12.75">
      <c r="A71" s="235">
        <f>IF(ISNUMBER('Data Entry'!$Q55),'Data Entry'!A55,"")</f>
      </c>
      <c r="B71" s="234">
        <f>IF(ISNUMBER('Data Entry'!$Q55),IF($B$3='Data Entry'!$B$8,'Data Entry'!L55,IF(AND($B$3=0,'Data Entry'!$B$8=1),'Data Entry'!L55/'Data Entry'!$B$9,IF(AND($B$3=1,'Data Entry'!$B$8=0),'Data Entry'!L55*'Data Entry'!$B$9,"Conversion Error"))),"")</f>
      </c>
      <c r="C71" s="234">
        <f>IF(ISNUMBER('Data Entry'!$Q55),IF(ISNUMBER('Data Entry'!$M55),'Data Entry'!$M55,IF(ISNUMBER('Data Entry'!$N55),'Data Entry'!$N55,"Error")),"")</f>
      </c>
      <c r="D71" s="236">
        <f>IF(('Data Entry'!$Q55=""),"",IF(($B$3='Data Entry'!$B$8),($B71*COS(((360-$B$6)-$C71+90)*PI()/180)),IF(AND($B$3=0,'Data Entry'!$B$8=1),($B71*COS(((360-$B$6)-$C71+90)*PI()/180))/'Data Entry'!$B$9,IF(AND($B$3=1,'Data Entry'!$B$8=0),($B71*COS(((360-$B$6)-$C71+90)*PI()/180))*'Data Entry'!$B$9,"Conv. Error"))))</f>
      </c>
      <c r="E71" s="237">
        <f>IF(('Data Entry'!$Q55=""),"",IF(($B$3='Data Entry'!$B$8),($B71*SIN(((360-$B$6)-$C71+90)*PI()/180)),IF(AND($B$3=0,'Data Entry'!$B$8=1),($B71*SIN(((360-$B$6)-$C71+90)*PI()/180))/'Data Entry'!$B$9,IF(AND($B$3=1,'Data Entry'!$B$8=0),($B71*SIN(((360-$B$6)-$C71+90)*PI()/180))*'Data Entry'!$B$9,"Conv. Error"))))</f>
      </c>
      <c r="F71" s="234">
        <f t="shared" si="0"/>
      </c>
      <c r="G71" s="234">
        <f t="shared" si="0"/>
      </c>
      <c r="H71" s="258"/>
      <c r="I71" s="245"/>
      <c r="J71" s="245"/>
    </row>
    <row r="72" spans="1:10" ht="12.75">
      <c r="A72" s="235">
        <f>IF(ISNUMBER('Data Entry'!$Q56),'Data Entry'!A56,"")</f>
      </c>
      <c r="B72" s="234">
        <f>IF(ISNUMBER('Data Entry'!$Q56),IF($B$3='Data Entry'!$B$8,'Data Entry'!L56,IF(AND($B$3=0,'Data Entry'!$B$8=1),'Data Entry'!L56/'Data Entry'!$B$9,IF(AND($B$3=1,'Data Entry'!$B$8=0),'Data Entry'!L56*'Data Entry'!$B$9,"Conversion Error"))),"")</f>
      </c>
      <c r="C72" s="234">
        <f>IF(ISNUMBER('Data Entry'!$Q56),IF(ISNUMBER('Data Entry'!$M56),'Data Entry'!$M56,IF(ISNUMBER('Data Entry'!$N56),'Data Entry'!$N56,"Error")),"")</f>
      </c>
      <c r="D72" s="236">
        <f>IF(('Data Entry'!$Q56=""),"",IF(($B$3='Data Entry'!$B$8),($B72*COS(((360-$B$6)-$C72+90)*PI()/180)),IF(AND($B$3=0,'Data Entry'!$B$8=1),($B72*COS(((360-$B$6)-$C72+90)*PI()/180))/'Data Entry'!$B$9,IF(AND($B$3=1,'Data Entry'!$B$8=0),($B72*COS(((360-$B$6)-$C72+90)*PI()/180))*'Data Entry'!$B$9,"Conv. Error"))))</f>
      </c>
      <c r="E72" s="237">
        <f>IF(('Data Entry'!$Q56=""),"",IF(($B$3='Data Entry'!$B$8),($B72*SIN(((360-$B$6)-$C72+90)*PI()/180)),IF(AND($B$3=0,'Data Entry'!$B$8=1),($B72*SIN(((360-$B$6)-$C72+90)*PI()/180))/'Data Entry'!$B$9,IF(AND($B$3=1,'Data Entry'!$B$8=0),($B72*SIN(((360-$B$6)-$C72+90)*PI()/180))*'Data Entry'!$B$9,"Conv. Error"))))</f>
      </c>
      <c r="F72" s="234">
        <f t="shared" si="0"/>
      </c>
      <c r="G72" s="234">
        <f t="shared" si="0"/>
      </c>
      <c r="H72" s="258"/>
      <c r="I72" s="245"/>
      <c r="J72" s="245"/>
    </row>
    <row r="73" spans="1:10" ht="12.75">
      <c r="A73" s="235">
        <f>IF(ISNUMBER('Data Entry'!$Q57),'Data Entry'!A57,"")</f>
      </c>
      <c r="B73" s="234">
        <f>IF(ISNUMBER('Data Entry'!$Q57),IF($B$3='Data Entry'!$B$8,'Data Entry'!L57,IF(AND($B$3=0,'Data Entry'!$B$8=1),'Data Entry'!L57/'Data Entry'!$B$9,IF(AND($B$3=1,'Data Entry'!$B$8=0),'Data Entry'!L57*'Data Entry'!$B$9,"Conversion Error"))),"")</f>
      </c>
      <c r="C73" s="234">
        <f>IF(ISNUMBER('Data Entry'!$Q57),IF(ISNUMBER('Data Entry'!$M57),'Data Entry'!$M57,IF(ISNUMBER('Data Entry'!$N57),'Data Entry'!$N57,"Error")),"")</f>
      </c>
      <c r="D73" s="236">
        <f>IF(('Data Entry'!$Q57=""),"",IF(($B$3='Data Entry'!$B$8),($B73*COS(((360-$B$6)-$C73+90)*PI()/180)),IF(AND($B$3=0,'Data Entry'!$B$8=1),($B73*COS(((360-$B$6)-$C73+90)*PI()/180))/'Data Entry'!$B$9,IF(AND($B$3=1,'Data Entry'!$B$8=0),($B73*COS(((360-$B$6)-$C73+90)*PI()/180))*'Data Entry'!$B$9,"Conv. Error"))))</f>
      </c>
      <c r="E73" s="237">
        <f>IF(('Data Entry'!$Q57=""),"",IF(($B$3='Data Entry'!$B$8),($B73*SIN(((360-$B$6)-$C73+90)*PI()/180)),IF(AND($B$3=0,'Data Entry'!$B$8=1),($B73*SIN(((360-$B$6)-$C73+90)*PI()/180))/'Data Entry'!$B$9,IF(AND($B$3=1,'Data Entry'!$B$8=0),($B73*SIN(((360-$B$6)-$C73+90)*PI()/180))*'Data Entry'!$B$9,"Conv. Error"))))</f>
      </c>
      <c r="F73" s="234">
        <f t="shared" si="0"/>
      </c>
      <c r="G73" s="234">
        <f t="shared" si="0"/>
      </c>
      <c r="H73" s="258"/>
      <c r="I73" s="245"/>
      <c r="J73" s="245"/>
    </row>
    <row r="74" spans="1:10" ht="12.75">
      <c r="A74" s="235">
        <f>IF(ISNUMBER('Data Entry'!$Q58),'Data Entry'!A58,"")</f>
      </c>
      <c r="B74" s="234">
        <f>IF(ISNUMBER('Data Entry'!$Q58),IF($B$3='Data Entry'!$B$8,'Data Entry'!L58,IF(AND($B$3=0,'Data Entry'!$B$8=1),'Data Entry'!L58/'Data Entry'!$B$9,IF(AND($B$3=1,'Data Entry'!$B$8=0),'Data Entry'!L58*'Data Entry'!$B$9,"Conversion Error"))),"")</f>
      </c>
      <c r="C74" s="234">
        <f>IF(ISNUMBER('Data Entry'!$Q58),IF(ISNUMBER('Data Entry'!$M58),'Data Entry'!$M58,IF(ISNUMBER('Data Entry'!$N58),'Data Entry'!$N58,"Error")),"")</f>
      </c>
      <c r="D74" s="236">
        <f>IF(('Data Entry'!$Q58=""),"",IF(($B$3='Data Entry'!$B$8),($B74*COS(((360-$B$6)-$C74+90)*PI()/180)),IF(AND($B$3=0,'Data Entry'!$B$8=1),($B74*COS(((360-$B$6)-$C74+90)*PI()/180))/'Data Entry'!$B$9,IF(AND($B$3=1,'Data Entry'!$B$8=0),($B74*COS(((360-$B$6)-$C74+90)*PI()/180))*'Data Entry'!$B$9,"Conv. Error"))))</f>
      </c>
      <c r="E74" s="237">
        <f>IF(('Data Entry'!$Q58=""),"",IF(($B$3='Data Entry'!$B$8),($B74*SIN(((360-$B$6)-$C74+90)*PI()/180)),IF(AND($B$3=0,'Data Entry'!$B$8=1),($B74*SIN(((360-$B$6)-$C74+90)*PI()/180))/'Data Entry'!$B$9,IF(AND($B$3=1,'Data Entry'!$B$8=0),($B74*SIN(((360-$B$6)-$C74+90)*PI()/180))*'Data Entry'!$B$9,"Conv. Error"))))</f>
      </c>
      <c r="F74" s="234">
        <f t="shared" si="0"/>
      </c>
      <c r="G74" s="234">
        <f t="shared" si="0"/>
      </c>
      <c r="H74" s="258"/>
      <c r="I74" s="245"/>
      <c r="J74" s="245"/>
    </row>
    <row r="75" spans="1:10" ht="12.75">
      <c r="A75" s="235">
        <f>IF(ISNUMBER('Data Entry'!$Q59),'Data Entry'!A59,"")</f>
      </c>
      <c r="B75" s="234">
        <f>IF(ISNUMBER('Data Entry'!$Q59),IF($B$3='Data Entry'!$B$8,'Data Entry'!L59,IF(AND($B$3=0,'Data Entry'!$B$8=1),'Data Entry'!L59/'Data Entry'!$B$9,IF(AND($B$3=1,'Data Entry'!$B$8=0),'Data Entry'!L59*'Data Entry'!$B$9,"Conversion Error"))),"")</f>
      </c>
      <c r="C75" s="234">
        <f>IF(ISNUMBER('Data Entry'!$Q59),IF(ISNUMBER('Data Entry'!$M59),'Data Entry'!$M59,IF(ISNUMBER('Data Entry'!$N59),'Data Entry'!$N59,"Error")),"")</f>
      </c>
      <c r="D75" s="236">
        <f>IF(('Data Entry'!$Q59=""),"",IF(($B$3='Data Entry'!$B$8),($B75*COS(((360-$B$6)-$C75+90)*PI()/180)),IF(AND($B$3=0,'Data Entry'!$B$8=1),($B75*COS(((360-$B$6)-$C75+90)*PI()/180))/'Data Entry'!$B$9,IF(AND($B$3=1,'Data Entry'!$B$8=0),($B75*COS(((360-$B$6)-$C75+90)*PI()/180))*'Data Entry'!$B$9,"Conv. Error"))))</f>
      </c>
      <c r="E75" s="237">
        <f>IF(('Data Entry'!$Q59=""),"",IF(($B$3='Data Entry'!$B$8),($B75*SIN(((360-$B$6)-$C75+90)*PI()/180)),IF(AND($B$3=0,'Data Entry'!$B$8=1),($B75*SIN(((360-$B$6)-$C75+90)*PI()/180))/'Data Entry'!$B$9,IF(AND($B$3=1,'Data Entry'!$B$8=0),($B75*SIN(((360-$B$6)-$C75+90)*PI()/180))*'Data Entry'!$B$9,"Conv. Error"))))</f>
      </c>
      <c r="F75" s="234">
        <f t="shared" si="0"/>
      </c>
      <c r="G75" s="234">
        <f t="shared" si="0"/>
      </c>
      <c r="H75" s="258"/>
      <c r="I75" s="245"/>
      <c r="J75" s="245"/>
    </row>
    <row r="76" spans="1:10" ht="12.75">
      <c r="A76" s="235">
        <f>IF(ISNUMBER('Data Entry'!$Q60),'Data Entry'!A60,"")</f>
      </c>
      <c r="B76" s="234">
        <f>IF(ISNUMBER('Data Entry'!$Q60),IF($B$3='Data Entry'!$B$8,'Data Entry'!L60,IF(AND($B$3=0,'Data Entry'!$B$8=1),'Data Entry'!L60/'Data Entry'!$B$9,IF(AND($B$3=1,'Data Entry'!$B$8=0),'Data Entry'!L60*'Data Entry'!$B$9,"Conversion Error"))),"")</f>
      </c>
      <c r="C76" s="234">
        <f>IF(ISNUMBER('Data Entry'!$Q60),IF(ISNUMBER('Data Entry'!$M60),'Data Entry'!$M60,IF(ISNUMBER('Data Entry'!$N60),'Data Entry'!$N60,"Error")),"")</f>
      </c>
      <c r="D76" s="236">
        <f>IF(('Data Entry'!$Q60=""),"",IF(($B$3='Data Entry'!$B$8),($B76*COS(((360-$B$6)-$C76+90)*PI()/180)),IF(AND($B$3=0,'Data Entry'!$B$8=1),($B76*COS(((360-$B$6)-$C76+90)*PI()/180))/'Data Entry'!$B$9,IF(AND($B$3=1,'Data Entry'!$B$8=0),($B76*COS(((360-$B$6)-$C76+90)*PI()/180))*'Data Entry'!$B$9,"Conv. Error"))))</f>
      </c>
      <c r="E76" s="237">
        <f>IF(('Data Entry'!$Q60=""),"",IF(($B$3='Data Entry'!$B$8),($B76*SIN(((360-$B$6)-$C76+90)*PI()/180)),IF(AND($B$3=0,'Data Entry'!$B$8=1),($B76*SIN(((360-$B$6)-$C76+90)*PI()/180))/'Data Entry'!$B$9,IF(AND($B$3=1,'Data Entry'!$B$8=0),($B76*SIN(((360-$B$6)-$C76+90)*PI()/180))*'Data Entry'!$B$9,"Conv. Error"))))</f>
      </c>
      <c r="F76" s="234">
        <f t="shared" si="0"/>
      </c>
      <c r="G76" s="234">
        <f t="shared" si="0"/>
      </c>
      <c r="H76" s="258"/>
      <c r="I76" s="245"/>
      <c r="J76" s="245"/>
    </row>
    <row r="77" spans="1:10" ht="12.75">
      <c r="A77" s="235">
        <f>IF(ISNUMBER('Data Entry'!$Q61),'Data Entry'!A61,"")</f>
      </c>
      <c r="B77" s="234">
        <f>IF(ISNUMBER('Data Entry'!$Q61),IF($B$3='Data Entry'!$B$8,'Data Entry'!L61,IF(AND($B$3=0,'Data Entry'!$B$8=1),'Data Entry'!L61/'Data Entry'!$B$9,IF(AND($B$3=1,'Data Entry'!$B$8=0),'Data Entry'!L61*'Data Entry'!$B$9,"Conversion Error"))),"")</f>
      </c>
      <c r="C77" s="234">
        <f>IF(ISNUMBER('Data Entry'!$Q61),IF(ISNUMBER('Data Entry'!$M61),'Data Entry'!$M61,IF(ISNUMBER('Data Entry'!$N61),'Data Entry'!$N61,"Error")),"")</f>
      </c>
      <c r="D77" s="236">
        <f>IF(('Data Entry'!$Q61=""),"",IF(($B$3='Data Entry'!$B$8),($B77*COS(((360-$B$6)-$C77+90)*PI()/180)),IF(AND($B$3=0,'Data Entry'!$B$8=1),($B77*COS(((360-$B$6)-$C77+90)*PI()/180))/'Data Entry'!$B$9,IF(AND($B$3=1,'Data Entry'!$B$8=0),($B77*COS(((360-$B$6)-$C77+90)*PI()/180))*'Data Entry'!$B$9,"Conv. Error"))))</f>
      </c>
      <c r="E77" s="237">
        <f>IF(('Data Entry'!$Q61=""),"",IF(($B$3='Data Entry'!$B$8),($B77*SIN(((360-$B$6)-$C77+90)*PI()/180)),IF(AND($B$3=0,'Data Entry'!$B$8=1),($B77*SIN(((360-$B$6)-$C77+90)*PI()/180))/'Data Entry'!$B$9,IF(AND($B$3=1,'Data Entry'!$B$8=0),($B77*SIN(((360-$B$6)-$C77+90)*PI()/180))*'Data Entry'!$B$9,"Conv. Error"))))</f>
      </c>
      <c r="F77" s="234">
        <f t="shared" si="0"/>
      </c>
      <c r="G77" s="234">
        <f t="shared" si="0"/>
      </c>
      <c r="H77" s="258"/>
      <c r="I77" s="245"/>
      <c r="J77" s="245"/>
    </row>
    <row r="78" spans="1:10" ht="12.75">
      <c r="A78" s="235">
        <f>IF(ISNUMBER('Data Entry'!$Q62),'Data Entry'!A62,"")</f>
      </c>
      <c r="B78" s="234">
        <f>IF(ISNUMBER('Data Entry'!$Q62),IF($B$3='Data Entry'!$B$8,'Data Entry'!L62,IF(AND($B$3=0,'Data Entry'!$B$8=1),'Data Entry'!L62/'Data Entry'!$B$9,IF(AND($B$3=1,'Data Entry'!$B$8=0),'Data Entry'!L62*'Data Entry'!$B$9,"Conversion Error"))),"")</f>
      </c>
      <c r="C78" s="234">
        <f>IF(ISNUMBER('Data Entry'!$Q62),IF(ISNUMBER('Data Entry'!$M62),'Data Entry'!$M62,IF(ISNUMBER('Data Entry'!$N62),'Data Entry'!$N62,"Error")),"")</f>
      </c>
      <c r="D78" s="236">
        <f>IF(('Data Entry'!$Q62=""),"",IF(($B$3='Data Entry'!$B$8),($B78*COS(((360-$B$6)-$C78+90)*PI()/180)),IF(AND($B$3=0,'Data Entry'!$B$8=1),($B78*COS(((360-$B$6)-$C78+90)*PI()/180))/'Data Entry'!$B$9,IF(AND($B$3=1,'Data Entry'!$B$8=0),($B78*COS(((360-$B$6)-$C78+90)*PI()/180))*'Data Entry'!$B$9,"Conv. Error"))))</f>
      </c>
      <c r="E78" s="237">
        <f>IF(('Data Entry'!$Q62=""),"",IF(($B$3='Data Entry'!$B$8),($B78*SIN(((360-$B$6)-$C78+90)*PI()/180)),IF(AND($B$3=0,'Data Entry'!$B$8=1),($B78*SIN(((360-$B$6)-$C78+90)*PI()/180))/'Data Entry'!$B$9,IF(AND($B$3=1,'Data Entry'!$B$8=0),($B78*SIN(((360-$B$6)-$C78+90)*PI()/180))*'Data Entry'!$B$9,"Conv. Error"))))</f>
      </c>
      <c r="F78" s="234">
        <f t="shared" si="0"/>
      </c>
      <c r="G78" s="234">
        <f t="shared" si="0"/>
      </c>
      <c r="H78" s="258"/>
      <c r="I78" s="245"/>
      <c r="J78" s="245"/>
    </row>
    <row r="79" spans="1:10" ht="12.75">
      <c r="A79" s="235">
        <f>IF(ISNUMBER('Data Entry'!$Q63),'Data Entry'!A63,"")</f>
      </c>
      <c r="B79" s="234">
        <f>IF(ISNUMBER('Data Entry'!$Q63),IF($B$3='Data Entry'!$B$8,'Data Entry'!L63,IF(AND($B$3=0,'Data Entry'!$B$8=1),'Data Entry'!L63/'Data Entry'!$B$9,IF(AND($B$3=1,'Data Entry'!$B$8=0),'Data Entry'!L63*'Data Entry'!$B$9,"Conversion Error"))),"")</f>
      </c>
      <c r="C79" s="234">
        <f>IF(ISNUMBER('Data Entry'!$Q63),IF(ISNUMBER('Data Entry'!$M63),'Data Entry'!$M63,IF(ISNUMBER('Data Entry'!$N63),'Data Entry'!$N63,"Error")),"")</f>
      </c>
      <c r="D79" s="236">
        <f>IF(('Data Entry'!$Q63=""),"",IF(($B$3='Data Entry'!$B$8),($B79*COS(((360-$B$6)-$C79+90)*PI()/180)),IF(AND($B$3=0,'Data Entry'!$B$8=1),($B79*COS(((360-$B$6)-$C79+90)*PI()/180))/'Data Entry'!$B$9,IF(AND($B$3=1,'Data Entry'!$B$8=0),($B79*COS(((360-$B$6)-$C79+90)*PI()/180))*'Data Entry'!$B$9,"Conv. Error"))))</f>
      </c>
      <c r="E79" s="237">
        <f>IF(('Data Entry'!$Q63=""),"",IF(($B$3='Data Entry'!$B$8),($B79*SIN(((360-$B$6)-$C79+90)*PI()/180)),IF(AND($B$3=0,'Data Entry'!$B$8=1),($B79*SIN(((360-$B$6)-$C79+90)*PI()/180))/'Data Entry'!$B$9,IF(AND($B$3=1,'Data Entry'!$B$8=0),($B79*SIN(((360-$B$6)-$C79+90)*PI()/180))*'Data Entry'!$B$9,"Conv. Error"))))</f>
      </c>
      <c r="F79" s="234">
        <f t="shared" si="0"/>
      </c>
      <c r="G79" s="234">
        <f t="shared" si="0"/>
      </c>
      <c r="H79" s="258"/>
      <c r="I79" s="245"/>
      <c r="J79" s="245"/>
    </row>
    <row r="80" spans="1:10" ht="12.75">
      <c r="A80" s="235">
        <f>IF(ISNUMBER('Data Entry'!$Q64),'Data Entry'!A64,"")</f>
      </c>
      <c r="B80" s="234">
        <f>IF(ISNUMBER('Data Entry'!$Q64),IF($B$3='Data Entry'!$B$8,'Data Entry'!L64,IF(AND($B$3=0,'Data Entry'!$B$8=1),'Data Entry'!L64/'Data Entry'!$B$9,IF(AND($B$3=1,'Data Entry'!$B$8=0),'Data Entry'!L64*'Data Entry'!$B$9,"Conversion Error"))),"")</f>
      </c>
      <c r="C80" s="234">
        <f>IF(ISNUMBER('Data Entry'!$Q64),IF(ISNUMBER('Data Entry'!$M64),'Data Entry'!$M64,IF(ISNUMBER('Data Entry'!$N64),'Data Entry'!$N64,"Error")),"")</f>
      </c>
      <c r="D80" s="236">
        <f>IF(('Data Entry'!$Q64=""),"",IF(($B$3='Data Entry'!$B$8),($B80*COS(((360-$B$6)-$C80+90)*PI()/180)),IF(AND($B$3=0,'Data Entry'!$B$8=1),($B80*COS(((360-$B$6)-$C80+90)*PI()/180))/'Data Entry'!$B$9,IF(AND($B$3=1,'Data Entry'!$B$8=0),($B80*COS(((360-$B$6)-$C80+90)*PI()/180))*'Data Entry'!$B$9,"Conv. Error"))))</f>
      </c>
      <c r="E80" s="237">
        <f>IF(('Data Entry'!$Q64=""),"",IF(($B$3='Data Entry'!$B$8),($B80*SIN(((360-$B$6)-$C80+90)*PI()/180)),IF(AND($B$3=0,'Data Entry'!$B$8=1),($B80*SIN(((360-$B$6)-$C80+90)*PI()/180))/'Data Entry'!$B$9,IF(AND($B$3=1,'Data Entry'!$B$8=0),($B80*SIN(((360-$B$6)-$C80+90)*PI()/180))*'Data Entry'!$B$9,"Conv. Error"))))</f>
      </c>
      <c r="F80" s="234">
        <f t="shared" si="0"/>
      </c>
      <c r="G80" s="234">
        <f t="shared" si="0"/>
      </c>
      <c r="H80" s="258"/>
      <c r="I80" s="245"/>
      <c r="J80" s="245"/>
    </row>
    <row r="81" spans="1:10" ht="12.75">
      <c r="A81" s="235">
        <f>IF(ISNUMBER('Data Entry'!$Q65),'Data Entry'!A65,"")</f>
      </c>
      <c r="B81" s="234">
        <f>IF(ISNUMBER('Data Entry'!$Q65),IF($B$3='Data Entry'!$B$8,'Data Entry'!L65,IF(AND($B$3=0,'Data Entry'!$B$8=1),'Data Entry'!L65/'Data Entry'!$B$9,IF(AND($B$3=1,'Data Entry'!$B$8=0),'Data Entry'!L65*'Data Entry'!$B$9,"Conversion Error"))),"")</f>
      </c>
      <c r="C81" s="234">
        <f>IF(ISNUMBER('Data Entry'!$Q65),IF(ISNUMBER('Data Entry'!$M65),'Data Entry'!$M65,IF(ISNUMBER('Data Entry'!$N65),'Data Entry'!$N65,"Error")),"")</f>
      </c>
      <c r="D81" s="236">
        <f>IF(('Data Entry'!$Q65=""),"",IF(($B$3='Data Entry'!$B$8),($B81*COS(((360-$B$6)-$C81+90)*PI()/180)),IF(AND($B$3=0,'Data Entry'!$B$8=1),($B81*COS(((360-$B$6)-$C81+90)*PI()/180))/'Data Entry'!$B$9,IF(AND($B$3=1,'Data Entry'!$B$8=0),($B81*COS(((360-$B$6)-$C81+90)*PI()/180))*'Data Entry'!$B$9,"Conv. Error"))))</f>
      </c>
      <c r="E81" s="237">
        <f>IF(('Data Entry'!$Q65=""),"",IF(($B$3='Data Entry'!$B$8),($B81*SIN(((360-$B$6)-$C81+90)*PI()/180)),IF(AND($B$3=0,'Data Entry'!$B$8=1),($B81*SIN(((360-$B$6)-$C81+90)*PI()/180))/'Data Entry'!$B$9,IF(AND($B$3=1,'Data Entry'!$B$8=0),($B81*SIN(((360-$B$6)-$C81+90)*PI()/180))*'Data Entry'!$B$9,"Conv. Error"))))</f>
      </c>
      <c r="F81" s="234">
        <f t="shared" si="0"/>
      </c>
      <c r="G81" s="234">
        <f t="shared" si="0"/>
      </c>
      <c r="H81" s="258"/>
      <c r="I81" s="245"/>
      <c r="J81" s="245"/>
    </row>
    <row r="82" spans="1:10" ht="12.75">
      <c r="A82" s="235">
        <f>IF(ISNUMBER('Data Entry'!$Q66),'Data Entry'!A66,"")</f>
      </c>
      <c r="B82" s="234">
        <f>IF(ISNUMBER('Data Entry'!$Q66),IF($B$3='Data Entry'!$B$8,'Data Entry'!L66,IF(AND($B$3=0,'Data Entry'!$B$8=1),'Data Entry'!L66/'Data Entry'!$B$9,IF(AND($B$3=1,'Data Entry'!$B$8=0),'Data Entry'!L66*'Data Entry'!$B$9,"Conversion Error"))),"")</f>
      </c>
      <c r="C82" s="234">
        <f>IF(ISNUMBER('Data Entry'!$Q66),IF(ISNUMBER('Data Entry'!$M66),'Data Entry'!$M66,IF(ISNUMBER('Data Entry'!$N66),'Data Entry'!$N66,"Error")),"")</f>
      </c>
      <c r="D82" s="236">
        <f>IF(('Data Entry'!$Q66=""),"",IF(($B$3='Data Entry'!$B$8),($B82*COS(((360-$B$6)-$C82+90)*PI()/180)),IF(AND($B$3=0,'Data Entry'!$B$8=1),($B82*COS(((360-$B$6)-$C82+90)*PI()/180))/'Data Entry'!$B$9,IF(AND($B$3=1,'Data Entry'!$B$8=0),($B82*COS(((360-$B$6)-$C82+90)*PI()/180))*'Data Entry'!$B$9,"Conv. Error"))))</f>
      </c>
      <c r="E82" s="237">
        <f>IF(('Data Entry'!$Q66=""),"",IF(($B$3='Data Entry'!$B$8),($B82*SIN(((360-$B$6)-$C82+90)*PI()/180)),IF(AND($B$3=0,'Data Entry'!$B$8=1),($B82*SIN(((360-$B$6)-$C82+90)*PI()/180))/'Data Entry'!$B$9,IF(AND($B$3=1,'Data Entry'!$B$8=0),($B82*SIN(((360-$B$6)-$C82+90)*PI()/180))*'Data Entry'!$B$9,"Conv. Error"))))</f>
      </c>
      <c r="F82" s="234">
        <f t="shared" si="0"/>
      </c>
      <c r="G82" s="234">
        <f t="shared" si="0"/>
      </c>
      <c r="H82" s="258"/>
      <c r="I82" s="245"/>
      <c r="J82" s="245"/>
    </row>
    <row r="83" spans="1:10" ht="12.75">
      <c r="A83" s="235">
        <f>IF(ISNUMBER('Data Entry'!$Q67),'Data Entry'!A67,"")</f>
      </c>
      <c r="B83" s="234">
        <f>IF(ISNUMBER('Data Entry'!$Q67),IF($B$3='Data Entry'!$B$8,'Data Entry'!L67,IF(AND($B$3=0,'Data Entry'!$B$8=1),'Data Entry'!L67/'Data Entry'!$B$9,IF(AND($B$3=1,'Data Entry'!$B$8=0),'Data Entry'!L67*'Data Entry'!$B$9,"Conversion Error"))),"")</f>
      </c>
      <c r="C83" s="234">
        <f>IF(ISNUMBER('Data Entry'!$Q67),IF(ISNUMBER('Data Entry'!$M67),'Data Entry'!$M67,IF(ISNUMBER('Data Entry'!$N67),'Data Entry'!$N67,"Error")),"")</f>
      </c>
      <c r="D83" s="236">
        <f>IF(('Data Entry'!$Q67=""),"",IF(($B$3='Data Entry'!$B$8),($B83*COS(((360-$B$6)-$C83+90)*PI()/180)),IF(AND($B$3=0,'Data Entry'!$B$8=1),($B83*COS(((360-$B$6)-$C83+90)*PI()/180))/'Data Entry'!$B$9,IF(AND($B$3=1,'Data Entry'!$B$8=0),($B83*COS(((360-$B$6)-$C83+90)*PI()/180))*'Data Entry'!$B$9,"Conv. Error"))))</f>
      </c>
      <c r="E83" s="237">
        <f>IF(('Data Entry'!$Q67=""),"",IF(($B$3='Data Entry'!$B$8),($B83*SIN(((360-$B$6)-$C83+90)*PI()/180)),IF(AND($B$3=0,'Data Entry'!$B$8=1),($B83*SIN(((360-$B$6)-$C83+90)*PI()/180))/'Data Entry'!$B$9,IF(AND($B$3=1,'Data Entry'!$B$8=0),($B83*SIN(((360-$B$6)-$C83+90)*PI()/180))*'Data Entry'!$B$9,"Conv. Error"))))</f>
      </c>
      <c r="F83" s="234">
        <f t="shared" si="0"/>
      </c>
      <c r="G83" s="234">
        <f t="shared" si="0"/>
      </c>
      <c r="H83" s="258"/>
      <c r="I83" s="245"/>
      <c r="J83" s="245"/>
    </row>
    <row r="84" spans="1:10" ht="12.75">
      <c r="A84" s="235">
        <f>IF(ISNUMBER('Data Entry'!$Q68),'Data Entry'!A68,"")</f>
      </c>
      <c r="B84" s="234">
        <f>IF(ISNUMBER('Data Entry'!$Q68),IF($B$3='Data Entry'!$B$8,'Data Entry'!L68,IF(AND($B$3=0,'Data Entry'!$B$8=1),'Data Entry'!L68/'Data Entry'!$B$9,IF(AND($B$3=1,'Data Entry'!$B$8=0),'Data Entry'!L68*'Data Entry'!$B$9,"Conversion Error"))),"")</f>
      </c>
      <c r="C84" s="234">
        <f>IF(ISNUMBER('Data Entry'!$Q68),IF(ISNUMBER('Data Entry'!$M68),'Data Entry'!$M68,IF(ISNUMBER('Data Entry'!$N68),'Data Entry'!$N68,"Error")),"")</f>
      </c>
      <c r="D84" s="236">
        <f>IF(('Data Entry'!$Q68=""),"",IF(($B$3='Data Entry'!$B$8),($B84*COS(((360-$B$6)-$C84+90)*PI()/180)),IF(AND($B$3=0,'Data Entry'!$B$8=1),($B84*COS(((360-$B$6)-$C84+90)*PI()/180))/'Data Entry'!$B$9,IF(AND($B$3=1,'Data Entry'!$B$8=0),($B84*COS(((360-$B$6)-$C84+90)*PI()/180))*'Data Entry'!$B$9,"Conv. Error"))))</f>
      </c>
      <c r="E84" s="237">
        <f>IF(('Data Entry'!$Q68=""),"",IF(($B$3='Data Entry'!$B$8),($B84*SIN(((360-$B$6)-$C84+90)*PI()/180)),IF(AND($B$3=0,'Data Entry'!$B$8=1),($B84*SIN(((360-$B$6)-$C84+90)*PI()/180))/'Data Entry'!$B$9,IF(AND($B$3=1,'Data Entry'!$B$8=0),($B84*SIN(((360-$B$6)-$C84+90)*PI()/180))*'Data Entry'!$B$9,"Conv. Error"))))</f>
      </c>
      <c r="F84" s="234">
        <f t="shared" si="0"/>
      </c>
      <c r="G84" s="234">
        <f t="shared" si="0"/>
      </c>
      <c r="H84" s="258"/>
      <c r="I84" s="245"/>
      <c r="J84" s="245"/>
    </row>
    <row r="85" spans="1:10" ht="12.75">
      <c r="A85" s="235">
        <f>IF(ISNUMBER('Data Entry'!$Q69),'Data Entry'!A69,"")</f>
      </c>
      <c r="B85" s="234">
        <f>IF(ISNUMBER('Data Entry'!$Q69),IF($B$3='Data Entry'!$B$8,'Data Entry'!L69,IF(AND($B$3=0,'Data Entry'!$B$8=1),'Data Entry'!L69/'Data Entry'!$B$9,IF(AND($B$3=1,'Data Entry'!$B$8=0),'Data Entry'!L69*'Data Entry'!$B$9,"Conversion Error"))),"")</f>
      </c>
      <c r="C85" s="234">
        <f>IF(ISNUMBER('Data Entry'!$Q69),IF(ISNUMBER('Data Entry'!$M69),'Data Entry'!$M69,IF(ISNUMBER('Data Entry'!$N69),'Data Entry'!$N69,"Error")),"")</f>
      </c>
      <c r="D85" s="236">
        <f>IF(('Data Entry'!$Q69=""),"",IF(($B$3='Data Entry'!$B$8),($B85*COS(((360-$B$6)-$C85+90)*PI()/180)),IF(AND($B$3=0,'Data Entry'!$B$8=1),($B85*COS(((360-$B$6)-$C85+90)*PI()/180))/'Data Entry'!$B$9,IF(AND($B$3=1,'Data Entry'!$B$8=0),($B85*COS(((360-$B$6)-$C85+90)*PI()/180))*'Data Entry'!$B$9,"Conv. Error"))))</f>
      </c>
      <c r="E85" s="237">
        <f>IF(('Data Entry'!$Q69=""),"",IF(($B$3='Data Entry'!$B$8),($B85*SIN(((360-$B$6)-$C85+90)*PI()/180)),IF(AND($B$3=0,'Data Entry'!$B$8=1),($B85*SIN(((360-$B$6)-$C85+90)*PI()/180))/'Data Entry'!$B$9,IF(AND($B$3=1,'Data Entry'!$B$8=0),($B85*SIN(((360-$B$6)-$C85+90)*PI()/180))*'Data Entry'!$B$9,"Conv. Error"))))</f>
      </c>
      <c r="F85" s="234">
        <f t="shared" si="0"/>
      </c>
      <c r="G85" s="234">
        <f t="shared" si="0"/>
      </c>
      <c r="H85" s="258"/>
      <c r="I85" s="245"/>
      <c r="J85" s="245"/>
    </row>
    <row r="86" spans="1:10" ht="12.75">
      <c r="A86" s="235">
        <f>IF(ISNUMBER('Data Entry'!$Q70),'Data Entry'!A70,"")</f>
      </c>
      <c r="B86" s="234">
        <f>IF(ISNUMBER('Data Entry'!$Q70),IF($B$3='Data Entry'!$B$8,'Data Entry'!L70,IF(AND($B$3=0,'Data Entry'!$B$8=1),'Data Entry'!L70/'Data Entry'!$B$9,IF(AND($B$3=1,'Data Entry'!$B$8=0),'Data Entry'!L70*'Data Entry'!$B$9,"Conversion Error"))),"")</f>
      </c>
      <c r="C86" s="234">
        <f>IF(ISNUMBER('Data Entry'!$Q70),IF(ISNUMBER('Data Entry'!$M70),'Data Entry'!$M70,IF(ISNUMBER('Data Entry'!$N70),'Data Entry'!$N70,"Error")),"")</f>
      </c>
      <c r="D86" s="236">
        <f>IF(('Data Entry'!$Q70=""),"",IF(($B$3='Data Entry'!$B$8),($B86*COS(((360-$B$6)-$C86+90)*PI()/180)),IF(AND($B$3=0,'Data Entry'!$B$8=1),($B86*COS(((360-$B$6)-$C86+90)*PI()/180))/'Data Entry'!$B$9,IF(AND($B$3=1,'Data Entry'!$B$8=0),($B86*COS(((360-$B$6)-$C86+90)*PI()/180))*'Data Entry'!$B$9,"Conv. Error"))))</f>
      </c>
      <c r="E86" s="237">
        <f>IF(('Data Entry'!$Q70=""),"",IF(($B$3='Data Entry'!$B$8),($B86*SIN(((360-$B$6)-$C86+90)*PI()/180)),IF(AND($B$3=0,'Data Entry'!$B$8=1),($B86*SIN(((360-$B$6)-$C86+90)*PI()/180))/'Data Entry'!$B$9,IF(AND($B$3=1,'Data Entry'!$B$8=0),($B86*SIN(((360-$B$6)-$C86+90)*PI()/180))*'Data Entry'!$B$9,"Conv. Error"))))</f>
      </c>
      <c r="F86" s="234">
        <f t="shared" si="0"/>
      </c>
      <c r="G86" s="234">
        <f t="shared" si="0"/>
      </c>
      <c r="H86" s="258"/>
      <c r="I86" s="245"/>
      <c r="J86" s="245"/>
    </row>
    <row r="87" spans="1:10" ht="12.75">
      <c r="A87" s="235">
        <f>IF(ISNUMBER('Data Entry'!$Q71),'Data Entry'!A71,"")</f>
      </c>
      <c r="B87" s="234">
        <f>IF(ISNUMBER('Data Entry'!$Q71),IF($B$3='Data Entry'!$B$8,'Data Entry'!L71,IF(AND($B$3=0,'Data Entry'!$B$8=1),'Data Entry'!L71/'Data Entry'!$B$9,IF(AND($B$3=1,'Data Entry'!$B$8=0),'Data Entry'!L71*'Data Entry'!$B$9,"Conversion Error"))),"")</f>
      </c>
      <c r="C87" s="234">
        <f>IF(ISNUMBER('Data Entry'!$Q71),IF(ISNUMBER('Data Entry'!$M71),'Data Entry'!$M71,IF(ISNUMBER('Data Entry'!$N71),'Data Entry'!$N71,"Error")),"")</f>
      </c>
      <c r="D87" s="236">
        <f>IF(('Data Entry'!$Q71=""),"",IF(($B$3='Data Entry'!$B$8),($B87*COS(((360-$B$6)-$C87+90)*PI()/180)),IF(AND($B$3=0,'Data Entry'!$B$8=1),($B87*COS(((360-$B$6)-$C87+90)*PI()/180))/'Data Entry'!$B$9,IF(AND($B$3=1,'Data Entry'!$B$8=0),($B87*COS(((360-$B$6)-$C87+90)*PI()/180))*'Data Entry'!$B$9,"Conv. Error"))))</f>
      </c>
      <c r="E87" s="237">
        <f>IF(('Data Entry'!$Q71=""),"",IF(($B$3='Data Entry'!$B$8),($B87*SIN(((360-$B$6)-$C87+90)*PI()/180)),IF(AND($B$3=0,'Data Entry'!$B$8=1),($B87*SIN(((360-$B$6)-$C87+90)*PI()/180))/'Data Entry'!$B$9,IF(AND($B$3=1,'Data Entry'!$B$8=0),($B87*SIN(((360-$B$6)-$C87+90)*PI()/180))*'Data Entry'!$B$9,"Conv. Error"))))</f>
      </c>
      <c r="F87" s="234">
        <f t="shared" si="0"/>
      </c>
      <c r="G87" s="234">
        <f t="shared" si="0"/>
      </c>
      <c r="H87" s="258"/>
      <c r="I87" s="245"/>
      <c r="J87" s="245"/>
    </row>
    <row r="88" spans="1:10" ht="12.75">
      <c r="A88" s="235">
        <f>IF(ISNUMBER('Data Entry'!$Q72),'Data Entry'!A72,"")</f>
      </c>
      <c r="B88" s="234">
        <f>IF(ISNUMBER('Data Entry'!$Q72),IF($B$3='Data Entry'!$B$8,'Data Entry'!L72,IF(AND($B$3=0,'Data Entry'!$B$8=1),'Data Entry'!L72/'Data Entry'!$B$9,IF(AND($B$3=1,'Data Entry'!$B$8=0),'Data Entry'!L72*'Data Entry'!$B$9,"Conversion Error"))),"")</f>
      </c>
      <c r="C88" s="234">
        <f>IF(ISNUMBER('Data Entry'!$Q72),IF(ISNUMBER('Data Entry'!$M72),'Data Entry'!$M72,IF(ISNUMBER('Data Entry'!$N72),'Data Entry'!$N72,"Error")),"")</f>
      </c>
      <c r="D88" s="236">
        <f>IF(('Data Entry'!$Q72=""),"",IF(($B$3='Data Entry'!$B$8),($B88*COS(((360-$B$6)-$C88+90)*PI()/180)),IF(AND($B$3=0,'Data Entry'!$B$8=1),($B88*COS(((360-$B$6)-$C88+90)*PI()/180))/'Data Entry'!$B$9,IF(AND($B$3=1,'Data Entry'!$B$8=0),($B88*COS(((360-$B$6)-$C88+90)*PI()/180))*'Data Entry'!$B$9,"Conv. Error"))))</f>
      </c>
      <c r="E88" s="237">
        <f>IF(('Data Entry'!$Q72=""),"",IF(($B$3='Data Entry'!$B$8),($B88*SIN(((360-$B$6)-$C88+90)*PI()/180)),IF(AND($B$3=0,'Data Entry'!$B$8=1),($B88*SIN(((360-$B$6)-$C88+90)*PI()/180))/'Data Entry'!$B$9,IF(AND($B$3=1,'Data Entry'!$B$8=0),($B88*SIN(((360-$B$6)-$C88+90)*PI()/180))*'Data Entry'!$B$9,"Conv. Error"))))</f>
      </c>
      <c r="F88" s="234">
        <f t="shared" si="0"/>
      </c>
      <c r="G88" s="234">
        <f t="shared" si="0"/>
      </c>
      <c r="H88" s="258"/>
      <c r="I88" s="245"/>
      <c r="J88" s="245"/>
    </row>
    <row r="89" spans="1:10" ht="12.75">
      <c r="A89" s="235">
        <f>IF(ISNUMBER('Data Entry'!$Q73),'Data Entry'!A73,"")</f>
      </c>
      <c r="B89" s="234">
        <f>IF(ISNUMBER('Data Entry'!$Q73),IF($B$3='Data Entry'!$B$8,'Data Entry'!L73,IF(AND($B$3=0,'Data Entry'!$B$8=1),'Data Entry'!L73/'Data Entry'!$B$9,IF(AND($B$3=1,'Data Entry'!$B$8=0),'Data Entry'!L73*'Data Entry'!$B$9,"Conversion Error"))),"")</f>
      </c>
      <c r="C89" s="234">
        <f>IF(ISNUMBER('Data Entry'!$Q73),IF(ISNUMBER('Data Entry'!$M73),'Data Entry'!$M73,IF(ISNUMBER('Data Entry'!$N73),'Data Entry'!$N73,"Error")),"")</f>
      </c>
      <c r="D89" s="236">
        <f>IF(('Data Entry'!$Q73=""),"",IF(($B$3='Data Entry'!$B$8),($B89*COS(((360-$B$6)-$C89+90)*PI()/180)),IF(AND($B$3=0,'Data Entry'!$B$8=1),($B89*COS(((360-$B$6)-$C89+90)*PI()/180))/'Data Entry'!$B$9,IF(AND($B$3=1,'Data Entry'!$B$8=0),($B89*COS(((360-$B$6)-$C89+90)*PI()/180))*'Data Entry'!$B$9,"Conv. Error"))))</f>
      </c>
      <c r="E89" s="237">
        <f>IF(('Data Entry'!$Q73=""),"",IF(($B$3='Data Entry'!$B$8),($B89*SIN(((360-$B$6)-$C89+90)*PI()/180)),IF(AND($B$3=0,'Data Entry'!$B$8=1),($B89*SIN(((360-$B$6)-$C89+90)*PI()/180))/'Data Entry'!$B$9,IF(AND($B$3=1,'Data Entry'!$B$8=0),($B89*SIN(((360-$B$6)-$C89+90)*PI()/180))*'Data Entry'!$B$9,"Conv. Error"))))</f>
      </c>
      <c r="F89" s="234">
        <f t="shared" si="0"/>
      </c>
      <c r="G89" s="234">
        <f t="shared" si="0"/>
      </c>
      <c r="H89" s="258"/>
      <c r="I89" s="245"/>
      <c r="J89" s="245"/>
    </row>
    <row r="90" spans="1:10" ht="12.75">
      <c r="A90" s="235">
        <f>IF(ISNUMBER('Data Entry'!$Q74),'Data Entry'!A74,"")</f>
      </c>
      <c r="B90" s="234">
        <f>IF(ISNUMBER('Data Entry'!$Q74),IF($B$3='Data Entry'!$B$8,'Data Entry'!L74,IF(AND($B$3=0,'Data Entry'!$B$8=1),'Data Entry'!L74/'Data Entry'!$B$9,IF(AND($B$3=1,'Data Entry'!$B$8=0),'Data Entry'!L74*'Data Entry'!$B$9,"Conversion Error"))),"")</f>
      </c>
      <c r="C90" s="234">
        <f>IF(ISNUMBER('Data Entry'!$Q74),IF(ISNUMBER('Data Entry'!$M74),'Data Entry'!$M74,IF(ISNUMBER('Data Entry'!$N74),'Data Entry'!$N74,"Error")),"")</f>
      </c>
      <c r="D90" s="236">
        <f>IF(('Data Entry'!$Q74=""),"",IF(($B$3='Data Entry'!$B$8),($B90*COS(((360-$B$6)-$C90+90)*PI()/180)),IF(AND($B$3=0,'Data Entry'!$B$8=1),($B90*COS(((360-$B$6)-$C90+90)*PI()/180))/'Data Entry'!$B$9,IF(AND($B$3=1,'Data Entry'!$B$8=0),($B90*COS(((360-$B$6)-$C90+90)*PI()/180))*'Data Entry'!$B$9,"Conv. Error"))))</f>
      </c>
      <c r="E90" s="237">
        <f>IF(('Data Entry'!$Q74=""),"",IF(($B$3='Data Entry'!$B$8),($B90*SIN(((360-$B$6)-$C90+90)*PI()/180)),IF(AND($B$3=0,'Data Entry'!$B$8=1),($B90*SIN(((360-$B$6)-$C90+90)*PI()/180))/'Data Entry'!$B$9,IF(AND($B$3=1,'Data Entry'!$B$8=0),($B90*SIN(((360-$B$6)-$C90+90)*PI()/180))*'Data Entry'!$B$9,"Conv. Error"))))</f>
      </c>
      <c r="F90" s="234">
        <f t="shared" si="0"/>
      </c>
      <c r="G90" s="234">
        <f t="shared" si="0"/>
      </c>
      <c r="H90" s="258"/>
      <c r="I90" s="245"/>
      <c r="J90" s="245"/>
    </row>
    <row r="91" spans="1:10" ht="12.75">
      <c r="A91" s="235">
        <f>IF(ISNUMBER('Data Entry'!$Q75),'Data Entry'!A75,"")</f>
      </c>
      <c r="B91" s="234">
        <f>IF(ISNUMBER('Data Entry'!$Q75),IF($B$3='Data Entry'!$B$8,'Data Entry'!L75,IF(AND($B$3=0,'Data Entry'!$B$8=1),'Data Entry'!L75/'Data Entry'!$B$9,IF(AND($B$3=1,'Data Entry'!$B$8=0),'Data Entry'!L75*'Data Entry'!$B$9,"Conversion Error"))),"")</f>
      </c>
      <c r="C91" s="234">
        <f>IF(ISNUMBER('Data Entry'!$Q75),IF(ISNUMBER('Data Entry'!$M75),'Data Entry'!$M75,IF(ISNUMBER('Data Entry'!$N75),'Data Entry'!$N75,"Error")),"")</f>
      </c>
      <c r="D91" s="236">
        <f>IF(('Data Entry'!$Q75=""),"",IF(($B$3='Data Entry'!$B$8),($B91*COS(((360-$B$6)-$C91+90)*PI()/180)),IF(AND($B$3=0,'Data Entry'!$B$8=1),($B91*COS(((360-$B$6)-$C91+90)*PI()/180))/'Data Entry'!$B$9,IF(AND($B$3=1,'Data Entry'!$B$8=0),($B91*COS(((360-$B$6)-$C91+90)*PI()/180))*'Data Entry'!$B$9,"Conv. Error"))))</f>
      </c>
      <c r="E91" s="237">
        <f>IF(('Data Entry'!$Q75=""),"",IF(($B$3='Data Entry'!$B$8),($B91*SIN(((360-$B$6)-$C91+90)*PI()/180)),IF(AND($B$3=0,'Data Entry'!$B$8=1),($B91*SIN(((360-$B$6)-$C91+90)*PI()/180))/'Data Entry'!$B$9,IF(AND($B$3=1,'Data Entry'!$B$8=0),($B91*SIN(((360-$B$6)-$C91+90)*PI()/180))*'Data Entry'!$B$9,"Conv. Error"))))</f>
      </c>
      <c r="F91" s="234">
        <f t="shared" si="0"/>
      </c>
      <c r="G91" s="234">
        <f t="shared" si="0"/>
      </c>
      <c r="H91" s="258"/>
      <c r="I91" s="245"/>
      <c r="J91" s="245"/>
    </row>
    <row r="92" spans="1:10" ht="12.75">
      <c r="A92" s="235">
        <f>IF(ISNUMBER('Data Entry'!$Q76),'Data Entry'!A76,"")</f>
      </c>
      <c r="B92" s="234">
        <f>IF(ISNUMBER('Data Entry'!$Q76),IF($B$3='Data Entry'!$B$8,'Data Entry'!L76,IF(AND($B$3=0,'Data Entry'!$B$8=1),'Data Entry'!L76/'Data Entry'!$B$9,IF(AND($B$3=1,'Data Entry'!$B$8=0),'Data Entry'!L76*'Data Entry'!$B$9,"Conversion Error"))),"")</f>
      </c>
      <c r="C92" s="234">
        <f>IF(ISNUMBER('Data Entry'!$Q76),IF(ISNUMBER('Data Entry'!$M76),'Data Entry'!$M76,IF(ISNUMBER('Data Entry'!$N76),'Data Entry'!$N76,"Error")),"")</f>
      </c>
      <c r="D92" s="236">
        <f>IF(('Data Entry'!$Q76=""),"",IF(($B$3='Data Entry'!$B$8),($B92*COS(((360-$B$6)-$C92+90)*PI()/180)),IF(AND($B$3=0,'Data Entry'!$B$8=1),($B92*COS(((360-$B$6)-$C92+90)*PI()/180))/'Data Entry'!$B$9,IF(AND($B$3=1,'Data Entry'!$B$8=0),($B92*COS(((360-$B$6)-$C92+90)*PI()/180))*'Data Entry'!$B$9,"Conv. Error"))))</f>
      </c>
      <c r="E92" s="237">
        <f>IF(('Data Entry'!$Q76=""),"",IF(($B$3='Data Entry'!$B$8),($B92*SIN(((360-$B$6)-$C92+90)*PI()/180)),IF(AND($B$3=0,'Data Entry'!$B$8=1),($B92*SIN(((360-$B$6)-$C92+90)*PI()/180))/'Data Entry'!$B$9,IF(AND($B$3=1,'Data Entry'!$B$8=0),($B92*SIN(((360-$B$6)-$C92+90)*PI()/180))*'Data Entry'!$B$9,"Conv. Error"))))</f>
      </c>
      <c r="F92" s="234">
        <f t="shared" si="0"/>
      </c>
      <c r="G92" s="234">
        <f t="shared" si="0"/>
      </c>
      <c r="H92" s="258"/>
      <c r="I92" s="245"/>
      <c r="J92" s="245"/>
    </row>
    <row r="93" spans="1:10" ht="12.75">
      <c r="A93" s="235">
        <f>IF(ISNUMBER('Data Entry'!$Q77),'Data Entry'!A77,"")</f>
      </c>
      <c r="B93" s="234">
        <f>IF(ISNUMBER('Data Entry'!$Q77),IF($B$3='Data Entry'!$B$8,'Data Entry'!L77,IF(AND($B$3=0,'Data Entry'!$B$8=1),'Data Entry'!L77/'Data Entry'!$B$9,IF(AND($B$3=1,'Data Entry'!$B$8=0),'Data Entry'!L77*'Data Entry'!$B$9,"Conversion Error"))),"")</f>
      </c>
      <c r="C93" s="234">
        <f>IF(ISNUMBER('Data Entry'!$Q77),IF(ISNUMBER('Data Entry'!$M77),'Data Entry'!$M77,IF(ISNUMBER('Data Entry'!$N77),'Data Entry'!$N77,"Error")),"")</f>
      </c>
      <c r="D93" s="236">
        <f>IF(('Data Entry'!$Q77=""),"",IF(($B$3='Data Entry'!$B$8),($B93*COS(((360-$B$6)-$C93+90)*PI()/180)),IF(AND($B$3=0,'Data Entry'!$B$8=1),($B93*COS(((360-$B$6)-$C93+90)*PI()/180))/'Data Entry'!$B$9,IF(AND($B$3=1,'Data Entry'!$B$8=0),($B93*COS(((360-$B$6)-$C93+90)*PI()/180))*'Data Entry'!$B$9,"Conv. Error"))))</f>
      </c>
      <c r="E93" s="237">
        <f>IF(('Data Entry'!$Q77=""),"",IF(($B$3='Data Entry'!$B$8),($B93*SIN(((360-$B$6)-$C93+90)*PI()/180)),IF(AND($B$3=0,'Data Entry'!$B$8=1),($B93*SIN(((360-$B$6)-$C93+90)*PI()/180))/'Data Entry'!$B$9,IF(AND($B$3=1,'Data Entry'!$B$8=0),($B93*SIN(((360-$B$6)-$C93+90)*PI()/180))*'Data Entry'!$B$9,"Conv. Error"))))</f>
      </c>
      <c r="F93" s="234">
        <f t="shared" si="0"/>
      </c>
      <c r="G93" s="234">
        <f t="shared" si="0"/>
      </c>
      <c r="H93" s="258"/>
      <c r="I93" s="245"/>
      <c r="J93" s="245"/>
    </row>
    <row r="94" spans="1:10" ht="12.75">
      <c r="A94" s="235">
        <f>IF(ISNUMBER('Data Entry'!$Q78),'Data Entry'!A78,"")</f>
      </c>
      <c r="B94" s="234">
        <f>IF(ISNUMBER('Data Entry'!$Q78),IF($B$3='Data Entry'!$B$8,'Data Entry'!L78,IF(AND($B$3=0,'Data Entry'!$B$8=1),'Data Entry'!L78/'Data Entry'!$B$9,IF(AND($B$3=1,'Data Entry'!$B$8=0),'Data Entry'!L78*'Data Entry'!$B$9,"Conversion Error"))),"")</f>
      </c>
      <c r="C94" s="234">
        <f>IF(ISNUMBER('Data Entry'!$Q78),IF(ISNUMBER('Data Entry'!$M78),'Data Entry'!$M78,IF(ISNUMBER('Data Entry'!$N78),'Data Entry'!$N78,"Error")),"")</f>
      </c>
      <c r="D94" s="236">
        <f>IF(('Data Entry'!$Q78=""),"",IF(($B$3='Data Entry'!$B$8),($B94*COS(((360-$B$6)-$C94+90)*PI()/180)),IF(AND($B$3=0,'Data Entry'!$B$8=1),($B94*COS(((360-$B$6)-$C94+90)*PI()/180))/'Data Entry'!$B$9,IF(AND($B$3=1,'Data Entry'!$B$8=0),($B94*COS(((360-$B$6)-$C94+90)*PI()/180))*'Data Entry'!$B$9,"Conv. Error"))))</f>
      </c>
      <c r="E94" s="237">
        <f>IF(('Data Entry'!$Q78=""),"",IF(($B$3='Data Entry'!$B$8),($B94*SIN(((360-$B$6)-$C94+90)*PI()/180)),IF(AND($B$3=0,'Data Entry'!$B$8=1),($B94*SIN(((360-$B$6)-$C94+90)*PI()/180))/'Data Entry'!$B$9,IF(AND($B$3=1,'Data Entry'!$B$8=0),($B94*SIN(((360-$B$6)-$C94+90)*PI()/180))*'Data Entry'!$B$9,"Conv. Error"))))</f>
      </c>
      <c r="F94" s="234">
        <f t="shared" si="0"/>
      </c>
      <c r="G94" s="234">
        <f t="shared" si="0"/>
      </c>
      <c r="H94" s="258"/>
      <c r="I94" s="245"/>
      <c r="J94" s="245"/>
    </row>
    <row r="95" spans="1:10" ht="12.75">
      <c r="A95" s="235">
        <f>IF(ISNUMBER('Data Entry'!$Q79),'Data Entry'!A79,"")</f>
      </c>
      <c r="B95" s="234">
        <f>IF(ISNUMBER('Data Entry'!$Q79),IF($B$3='Data Entry'!$B$8,'Data Entry'!L79,IF(AND($B$3=0,'Data Entry'!$B$8=1),'Data Entry'!L79/'Data Entry'!$B$9,IF(AND($B$3=1,'Data Entry'!$B$8=0),'Data Entry'!L79*'Data Entry'!$B$9,"Conversion Error"))),"")</f>
      </c>
      <c r="C95" s="234">
        <f>IF(ISNUMBER('Data Entry'!$Q79),IF(ISNUMBER('Data Entry'!$M79),'Data Entry'!$M79,IF(ISNUMBER('Data Entry'!$N79),'Data Entry'!$N79,"Error")),"")</f>
      </c>
      <c r="D95" s="236">
        <f>IF(('Data Entry'!$Q79=""),"",IF(($B$3='Data Entry'!$B$8),($B95*COS(((360-$B$6)-$C95+90)*PI()/180)),IF(AND($B$3=0,'Data Entry'!$B$8=1),($B95*COS(((360-$B$6)-$C95+90)*PI()/180))/'Data Entry'!$B$9,IF(AND($B$3=1,'Data Entry'!$B$8=0),($B95*COS(((360-$B$6)-$C95+90)*PI()/180))*'Data Entry'!$B$9,"Conv. Error"))))</f>
      </c>
      <c r="E95" s="237">
        <f>IF(('Data Entry'!$Q79=""),"",IF(($B$3='Data Entry'!$B$8),($B95*SIN(((360-$B$6)-$C95+90)*PI()/180)),IF(AND($B$3=0,'Data Entry'!$B$8=1),($B95*SIN(((360-$B$6)-$C95+90)*PI()/180))/'Data Entry'!$B$9,IF(AND($B$3=1,'Data Entry'!$B$8=0),($B95*SIN(((360-$B$6)-$C95+90)*PI()/180))*'Data Entry'!$B$9,"Conv. Error"))))</f>
      </c>
      <c r="F95" s="234">
        <f t="shared" si="0"/>
      </c>
      <c r="G95" s="234">
        <f t="shared" si="0"/>
      </c>
      <c r="H95" s="258"/>
      <c r="I95" s="245"/>
      <c r="J95" s="245"/>
    </row>
    <row r="96" spans="1:10" ht="12.75">
      <c r="A96" s="235">
        <f>IF(ISNUMBER('Data Entry'!$Q80),'Data Entry'!A80,"")</f>
      </c>
      <c r="B96" s="234">
        <f>IF(ISNUMBER('Data Entry'!$Q80),IF($B$3='Data Entry'!$B$8,'Data Entry'!L80,IF(AND($B$3=0,'Data Entry'!$B$8=1),'Data Entry'!L80/'Data Entry'!$B$9,IF(AND($B$3=1,'Data Entry'!$B$8=0),'Data Entry'!L80*'Data Entry'!$B$9,"Conversion Error"))),"")</f>
      </c>
      <c r="C96" s="234">
        <f>IF(ISNUMBER('Data Entry'!$Q80),IF(ISNUMBER('Data Entry'!$M80),'Data Entry'!$M80,IF(ISNUMBER('Data Entry'!$N80),'Data Entry'!$N80,"Error")),"")</f>
      </c>
      <c r="D96" s="236">
        <f>IF(('Data Entry'!$Q80=""),"",IF(($B$3='Data Entry'!$B$8),($B96*COS(((360-$B$6)-$C96+90)*PI()/180)),IF(AND($B$3=0,'Data Entry'!$B$8=1),($B96*COS(((360-$B$6)-$C96+90)*PI()/180))/'Data Entry'!$B$9,IF(AND($B$3=1,'Data Entry'!$B$8=0),($B96*COS(((360-$B$6)-$C96+90)*PI()/180))*'Data Entry'!$B$9,"Conv. Error"))))</f>
      </c>
      <c r="E96" s="237">
        <f>IF(('Data Entry'!$Q80=""),"",IF(($B$3='Data Entry'!$B$8),($B96*SIN(((360-$B$6)-$C96+90)*PI()/180)),IF(AND($B$3=0,'Data Entry'!$B$8=1),($B96*SIN(((360-$B$6)-$C96+90)*PI()/180))/'Data Entry'!$B$9,IF(AND($B$3=1,'Data Entry'!$B$8=0),($B96*SIN(((360-$B$6)-$C96+90)*PI()/180))*'Data Entry'!$B$9,"Conv. Error"))))</f>
      </c>
      <c r="F96" s="234">
        <f t="shared" si="0"/>
      </c>
      <c r="G96" s="234">
        <f t="shared" si="0"/>
      </c>
      <c r="H96" s="258"/>
      <c r="I96" s="245"/>
      <c r="J96" s="245"/>
    </row>
    <row r="97" spans="1:10" ht="12.75">
      <c r="A97" s="235">
        <f>IF(ISNUMBER('Data Entry'!$Q81),'Data Entry'!A81,"")</f>
      </c>
      <c r="B97" s="234">
        <f>IF(ISNUMBER('Data Entry'!$Q81),IF($B$3='Data Entry'!$B$8,'Data Entry'!L81,IF(AND($B$3=0,'Data Entry'!$B$8=1),'Data Entry'!L81/'Data Entry'!$B$9,IF(AND($B$3=1,'Data Entry'!$B$8=0),'Data Entry'!L81*'Data Entry'!$B$9,"Conversion Error"))),"")</f>
      </c>
      <c r="C97" s="234">
        <f>IF(ISNUMBER('Data Entry'!$Q81),IF(ISNUMBER('Data Entry'!$M81),'Data Entry'!$M81,IF(ISNUMBER('Data Entry'!$N81),'Data Entry'!$N81,"Error")),"")</f>
      </c>
      <c r="D97" s="236">
        <f>IF(('Data Entry'!$Q81=""),"",IF(($B$3='Data Entry'!$B$8),($B97*COS(((360-$B$6)-$C97+90)*PI()/180)),IF(AND($B$3=0,'Data Entry'!$B$8=1),($B97*COS(((360-$B$6)-$C97+90)*PI()/180))/'Data Entry'!$B$9,IF(AND($B$3=1,'Data Entry'!$B$8=0),($B97*COS(((360-$B$6)-$C97+90)*PI()/180))*'Data Entry'!$B$9,"Conv. Error"))))</f>
      </c>
      <c r="E97" s="237">
        <f>IF(('Data Entry'!$Q81=""),"",IF(($B$3='Data Entry'!$B$8),($B97*SIN(((360-$B$6)-$C97+90)*PI()/180)),IF(AND($B$3=0,'Data Entry'!$B$8=1),($B97*SIN(((360-$B$6)-$C97+90)*PI()/180))/'Data Entry'!$B$9,IF(AND($B$3=1,'Data Entry'!$B$8=0),($B97*SIN(((360-$B$6)-$C97+90)*PI()/180))*'Data Entry'!$B$9,"Conv. Error"))))</f>
      </c>
      <c r="F97" s="234">
        <f t="shared" si="0"/>
      </c>
      <c r="G97" s="234">
        <f t="shared" si="0"/>
      </c>
      <c r="H97" s="258"/>
      <c r="I97" s="245"/>
      <c r="J97" s="245"/>
    </row>
    <row r="98" spans="1:10" ht="12.75">
      <c r="A98" s="235">
        <f>IF(ISNUMBER('Data Entry'!$Q82),'Data Entry'!A82,"")</f>
      </c>
      <c r="B98" s="234">
        <f>IF(ISNUMBER('Data Entry'!$Q82),IF($B$3='Data Entry'!$B$8,'Data Entry'!L82,IF(AND($B$3=0,'Data Entry'!$B$8=1),'Data Entry'!L82/'Data Entry'!$B$9,IF(AND($B$3=1,'Data Entry'!$B$8=0),'Data Entry'!L82*'Data Entry'!$B$9,"Conversion Error"))),"")</f>
      </c>
      <c r="C98" s="234">
        <f>IF(ISNUMBER('Data Entry'!$Q82),IF(ISNUMBER('Data Entry'!$M82),'Data Entry'!$M82,IF(ISNUMBER('Data Entry'!$N82),'Data Entry'!$N82,"Error")),"")</f>
      </c>
      <c r="D98" s="236">
        <f>IF(('Data Entry'!$Q82=""),"",IF(($B$3='Data Entry'!$B$8),($B98*COS(((360-$B$6)-$C98+90)*PI()/180)),IF(AND($B$3=0,'Data Entry'!$B$8=1),($B98*COS(((360-$B$6)-$C98+90)*PI()/180))/'Data Entry'!$B$9,IF(AND($B$3=1,'Data Entry'!$B$8=0),($B98*COS(((360-$B$6)-$C98+90)*PI()/180))*'Data Entry'!$B$9,"Conv. Error"))))</f>
      </c>
      <c r="E98" s="237">
        <f>IF(('Data Entry'!$Q82=""),"",IF(($B$3='Data Entry'!$B$8),($B98*SIN(((360-$B$6)-$C98+90)*PI()/180)),IF(AND($B$3=0,'Data Entry'!$B$8=1),($B98*SIN(((360-$B$6)-$C98+90)*PI()/180))/'Data Entry'!$B$9,IF(AND($B$3=1,'Data Entry'!$B$8=0),($B98*SIN(((360-$B$6)-$C98+90)*PI()/180))*'Data Entry'!$B$9,"Conv. Error"))))</f>
      </c>
      <c r="F98" s="234">
        <f aca="true" t="shared" si="1" ref="F98:G132">IF(ISERROR(F97+D98),"",F97+D98)</f>
      </c>
      <c r="G98" s="234">
        <f t="shared" si="1"/>
      </c>
      <c r="H98" s="258"/>
      <c r="I98" s="245"/>
      <c r="J98" s="245"/>
    </row>
    <row r="99" spans="1:10" ht="12.75">
      <c r="A99" s="235">
        <f>IF(ISNUMBER('Data Entry'!$Q83),'Data Entry'!A83,"")</f>
      </c>
      <c r="B99" s="234">
        <f>IF(ISNUMBER('Data Entry'!$Q83),IF($B$3='Data Entry'!$B$8,'Data Entry'!L83,IF(AND($B$3=0,'Data Entry'!$B$8=1),'Data Entry'!L83/'Data Entry'!$B$9,IF(AND($B$3=1,'Data Entry'!$B$8=0),'Data Entry'!L83*'Data Entry'!$B$9,"Conversion Error"))),"")</f>
      </c>
      <c r="C99" s="234">
        <f>IF(ISNUMBER('Data Entry'!$Q83),IF(ISNUMBER('Data Entry'!$M83),'Data Entry'!$M83,IF(ISNUMBER('Data Entry'!$N83),'Data Entry'!$N83,"Error")),"")</f>
      </c>
      <c r="D99" s="236">
        <f>IF(('Data Entry'!$Q83=""),"",IF(($B$3='Data Entry'!$B$8),($B99*COS(((360-$B$6)-$C99+90)*PI()/180)),IF(AND($B$3=0,'Data Entry'!$B$8=1),($B99*COS(((360-$B$6)-$C99+90)*PI()/180))/'Data Entry'!$B$9,IF(AND($B$3=1,'Data Entry'!$B$8=0),($B99*COS(((360-$B$6)-$C99+90)*PI()/180))*'Data Entry'!$B$9,"Conv. Error"))))</f>
      </c>
      <c r="E99" s="237">
        <f>IF(('Data Entry'!$Q83=""),"",IF(($B$3='Data Entry'!$B$8),($B99*SIN(((360-$B$6)-$C99+90)*PI()/180)),IF(AND($B$3=0,'Data Entry'!$B$8=1),($B99*SIN(((360-$B$6)-$C99+90)*PI()/180))/'Data Entry'!$B$9,IF(AND($B$3=1,'Data Entry'!$B$8=0),($B99*SIN(((360-$B$6)-$C99+90)*PI()/180))*'Data Entry'!$B$9,"Conv. Error"))))</f>
      </c>
      <c r="F99" s="234">
        <f t="shared" si="1"/>
      </c>
      <c r="G99" s="234">
        <f t="shared" si="1"/>
      </c>
      <c r="H99" s="258"/>
      <c r="I99" s="245"/>
      <c r="J99" s="245"/>
    </row>
    <row r="100" spans="1:10" ht="12.75">
      <c r="A100" s="235">
        <f>IF(ISNUMBER('Data Entry'!$Q84),'Data Entry'!A84,"")</f>
      </c>
      <c r="B100" s="234">
        <f>IF(ISNUMBER('Data Entry'!$Q84),IF($B$3='Data Entry'!$B$8,'Data Entry'!L84,IF(AND($B$3=0,'Data Entry'!$B$8=1),'Data Entry'!L84/'Data Entry'!$B$9,IF(AND($B$3=1,'Data Entry'!$B$8=0),'Data Entry'!L84*'Data Entry'!$B$9,"Conversion Error"))),"")</f>
      </c>
      <c r="C100" s="234">
        <f>IF(ISNUMBER('Data Entry'!$Q84),IF(ISNUMBER('Data Entry'!$M84),'Data Entry'!$M84,IF(ISNUMBER('Data Entry'!$N84),'Data Entry'!$N84,"Error")),"")</f>
      </c>
      <c r="D100" s="236">
        <f>IF(('Data Entry'!$Q84=""),"",IF(($B$3='Data Entry'!$B$8),($B100*COS(((360-$B$6)-$C100+90)*PI()/180)),IF(AND($B$3=0,'Data Entry'!$B$8=1),($B100*COS(((360-$B$6)-$C100+90)*PI()/180))/'Data Entry'!$B$9,IF(AND($B$3=1,'Data Entry'!$B$8=0),($B100*COS(((360-$B$6)-$C100+90)*PI()/180))*'Data Entry'!$B$9,"Conv. Error"))))</f>
      </c>
      <c r="E100" s="237">
        <f>IF(('Data Entry'!$Q84=""),"",IF(($B$3='Data Entry'!$B$8),($B100*SIN(((360-$B$6)-$C100+90)*PI()/180)),IF(AND($B$3=0,'Data Entry'!$B$8=1),($B100*SIN(((360-$B$6)-$C100+90)*PI()/180))/'Data Entry'!$B$9,IF(AND($B$3=1,'Data Entry'!$B$8=0),($B100*SIN(((360-$B$6)-$C100+90)*PI()/180))*'Data Entry'!$B$9,"Conv. Error"))))</f>
      </c>
      <c r="F100" s="234">
        <f t="shared" si="1"/>
      </c>
      <c r="G100" s="234">
        <f t="shared" si="1"/>
      </c>
      <c r="H100" s="258"/>
      <c r="I100" s="245"/>
      <c r="J100" s="245"/>
    </row>
    <row r="101" spans="1:10" ht="12.75">
      <c r="A101" s="235">
        <f>IF(ISNUMBER('Data Entry'!$Q85),'Data Entry'!A85,"")</f>
      </c>
      <c r="B101" s="234">
        <f>IF(ISNUMBER('Data Entry'!$Q85),IF($B$3='Data Entry'!$B$8,'Data Entry'!L85,IF(AND($B$3=0,'Data Entry'!$B$8=1),'Data Entry'!L85/'Data Entry'!$B$9,IF(AND($B$3=1,'Data Entry'!$B$8=0),'Data Entry'!L85*'Data Entry'!$B$9,"Conversion Error"))),"")</f>
      </c>
      <c r="C101" s="234">
        <f>IF(ISNUMBER('Data Entry'!$Q85),IF(ISNUMBER('Data Entry'!$M85),'Data Entry'!$M85,IF(ISNUMBER('Data Entry'!$N85),'Data Entry'!$N85,"Error")),"")</f>
      </c>
      <c r="D101" s="236">
        <f>IF(('Data Entry'!$Q85=""),"",IF(($B$3='Data Entry'!$B$8),($B101*COS(((360-$B$6)-$C101+90)*PI()/180)),IF(AND($B$3=0,'Data Entry'!$B$8=1),($B101*COS(((360-$B$6)-$C101+90)*PI()/180))/'Data Entry'!$B$9,IF(AND($B$3=1,'Data Entry'!$B$8=0),($B101*COS(((360-$B$6)-$C101+90)*PI()/180))*'Data Entry'!$B$9,"Conv. Error"))))</f>
      </c>
      <c r="E101" s="237">
        <f>IF(('Data Entry'!$Q85=""),"",IF(($B$3='Data Entry'!$B$8),($B101*SIN(((360-$B$6)-$C101+90)*PI()/180)),IF(AND($B$3=0,'Data Entry'!$B$8=1),($B101*SIN(((360-$B$6)-$C101+90)*PI()/180))/'Data Entry'!$B$9,IF(AND($B$3=1,'Data Entry'!$B$8=0),($B101*SIN(((360-$B$6)-$C101+90)*PI()/180))*'Data Entry'!$B$9,"Conv. Error"))))</f>
      </c>
      <c r="F101" s="234">
        <f t="shared" si="1"/>
      </c>
      <c r="G101" s="234">
        <f t="shared" si="1"/>
      </c>
      <c r="H101" s="258"/>
      <c r="I101" s="245"/>
      <c r="J101" s="245"/>
    </row>
    <row r="102" spans="1:10" ht="12.75">
      <c r="A102" s="235">
        <f>IF(ISNUMBER('Data Entry'!$Q86),'Data Entry'!A86,"")</f>
      </c>
      <c r="B102" s="234">
        <f>IF(ISNUMBER('Data Entry'!$Q86),IF($B$3='Data Entry'!$B$8,'Data Entry'!L86,IF(AND($B$3=0,'Data Entry'!$B$8=1),'Data Entry'!L86/'Data Entry'!$B$9,IF(AND($B$3=1,'Data Entry'!$B$8=0),'Data Entry'!L86*'Data Entry'!$B$9,"Conversion Error"))),"")</f>
      </c>
      <c r="C102" s="234">
        <f>IF(ISNUMBER('Data Entry'!$Q86),IF(ISNUMBER('Data Entry'!$M86),'Data Entry'!$M86,IF(ISNUMBER('Data Entry'!$N86),'Data Entry'!$N86,"Error")),"")</f>
      </c>
      <c r="D102" s="236">
        <f>IF(('Data Entry'!$Q86=""),"",IF(($B$3='Data Entry'!$B$8),($B102*COS(((360-$B$6)-$C102+90)*PI()/180)),IF(AND($B$3=0,'Data Entry'!$B$8=1),($B102*COS(((360-$B$6)-$C102+90)*PI()/180))/'Data Entry'!$B$9,IF(AND($B$3=1,'Data Entry'!$B$8=0),($B102*COS(((360-$B$6)-$C102+90)*PI()/180))*'Data Entry'!$B$9,"Conv. Error"))))</f>
      </c>
      <c r="E102" s="237">
        <f>IF(('Data Entry'!$Q86=""),"",IF(($B$3='Data Entry'!$B$8),($B102*SIN(((360-$B$6)-$C102+90)*PI()/180)),IF(AND($B$3=0,'Data Entry'!$B$8=1),($B102*SIN(((360-$B$6)-$C102+90)*PI()/180))/'Data Entry'!$B$9,IF(AND($B$3=1,'Data Entry'!$B$8=0),($B102*SIN(((360-$B$6)-$C102+90)*PI()/180))*'Data Entry'!$B$9,"Conv. Error"))))</f>
      </c>
      <c r="F102" s="234">
        <f t="shared" si="1"/>
      </c>
      <c r="G102" s="234">
        <f t="shared" si="1"/>
      </c>
      <c r="H102" s="258"/>
      <c r="I102" s="245"/>
      <c r="J102" s="245"/>
    </row>
    <row r="103" spans="1:10" ht="12.75">
      <c r="A103" s="235">
        <f>IF(ISNUMBER('Data Entry'!$Q87),'Data Entry'!A87,"")</f>
      </c>
      <c r="B103" s="234">
        <f>IF(ISNUMBER('Data Entry'!$Q87),IF($B$3='Data Entry'!$B$8,'Data Entry'!L87,IF(AND($B$3=0,'Data Entry'!$B$8=1),'Data Entry'!L87/'Data Entry'!$B$9,IF(AND($B$3=1,'Data Entry'!$B$8=0),'Data Entry'!L87*'Data Entry'!$B$9,"Conversion Error"))),"")</f>
      </c>
      <c r="C103" s="234">
        <f>IF(ISNUMBER('Data Entry'!$Q87),IF(ISNUMBER('Data Entry'!$M87),'Data Entry'!$M87,IF(ISNUMBER('Data Entry'!$N87),'Data Entry'!$N87,"Error")),"")</f>
      </c>
      <c r="D103" s="236">
        <f>IF(('Data Entry'!$Q87=""),"",IF(($B$3='Data Entry'!$B$8),($B103*COS(((360-$B$6)-$C103+90)*PI()/180)),IF(AND($B$3=0,'Data Entry'!$B$8=1),($B103*COS(((360-$B$6)-$C103+90)*PI()/180))/'Data Entry'!$B$9,IF(AND($B$3=1,'Data Entry'!$B$8=0),($B103*COS(((360-$B$6)-$C103+90)*PI()/180))*'Data Entry'!$B$9,"Conv. Error"))))</f>
      </c>
      <c r="E103" s="237">
        <f>IF(('Data Entry'!$Q87=""),"",IF(($B$3='Data Entry'!$B$8),($B103*SIN(((360-$B$6)-$C103+90)*PI()/180)),IF(AND($B$3=0,'Data Entry'!$B$8=1),($B103*SIN(((360-$B$6)-$C103+90)*PI()/180))/'Data Entry'!$B$9,IF(AND($B$3=1,'Data Entry'!$B$8=0),($B103*SIN(((360-$B$6)-$C103+90)*PI()/180))*'Data Entry'!$B$9,"Conv. Error"))))</f>
      </c>
      <c r="F103" s="234">
        <f t="shared" si="1"/>
      </c>
      <c r="G103" s="234">
        <f t="shared" si="1"/>
      </c>
      <c r="H103" s="258"/>
      <c r="I103" s="245"/>
      <c r="J103" s="245"/>
    </row>
    <row r="104" spans="1:10" ht="12.75">
      <c r="A104" s="235">
        <f>IF(ISNUMBER('Data Entry'!$Q88),'Data Entry'!A88,"")</f>
      </c>
      <c r="B104" s="234">
        <f>IF(ISNUMBER('Data Entry'!$Q88),IF($B$3='Data Entry'!$B$8,'Data Entry'!L88,IF(AND($B$3=0,'Data Entry'!$B$8=1),'Data Entry'!L88/'Data Entry'!$B$9,IF(AND($B$3=1,'Data Entry'!$B$8=0),'Data Entry'!L88*'Data Entry'!$B$9,"Conversion Error"))),"")</f>
      </c>
      <c r="C104" s="234">
        <f>IF(ISNUMBER('Data Entry'!$Q88),IF(ISNUMBER('Data Entry'!$M88),'Data Entry'!$M88,IF(ISNUMBER('Data Entry'!$N88),'Data Entry'!$N88,"Error")),"")</f>
      </c>
      <c r="D104" s="236">
        <f>IF(('Data Entry'!$Q88=""),"",IF(($B$3='Data Entry'!$B$8),($B104*COS(((360-$B$6)-$C104+90)*PI()/180)),IF(AND($B$3=0,'Data Entry'!$B$8=1),($B104*COS(((360-$B$6)-$C104+90)*PI()/180))/'Data Entry'!$B$9,IF(AND($B$3=1,'Data Entry'!$B$8=0),($B104*COS(((360-$B$6)-$C104+90)*PI()/180))*'Data Entry'!$B$9,"Conv. Error"))))</f>
      </c>
      <c r="E104" s="237">
        <f>IF(('Data Entry'!$Q88=""),"",IF(($B$3='Data Entry'!$B$8),($B104*SIN(((360-$B$6)-$C104+90)*PI()/180)),IF(AND($B$3=0,'Data Entry'!$B$8=1),($B104*SIN(((360-$B$6)-$C104+90)*PI()/180))/'Data Entry'!$B$9,IF(AND($B$3=1,'Data Entry'!$B$8=0),($B104*SIN(((360-$B$6)-$C104+90)*PI()/180))*'Data Entry'!$B$9,"Conv. Error"))))</f>
      </c>
      <c r="F104" s="234">
        <f t="shared" si="1"/>
      </c>
      <c r="G104" s="234">
        <f t="shared" si="1"/>
      </c>
      <c r="H104" s="258"/>
      <c r="I104" s="245"/>
      <c r="J104" s="245"/>
    </row>
    <row r="105" spans="1:10" ht="12.75">
      <c r="A105" s="235">
        <f>IF(ISNUMBER('Data Entry'!$Q89),'Data Entry'!A89,"")</f>
      </c>
      <c r="B105" s="234">
        <f>IF(ISNUMBER('Data Entry'!$Q89),IF($B$3='Data Entry'!$B$8,'Data Entry'!L89,IF(AND($B$3=0,'Data Entry'!$B$8=1),'Data Entry'!L89/'Data Entry'!$B$9,IF(AND($B$3=1,'Data Entry'!$B$8=0),'Data Entry'!L89*'Data Entry'!$B$9,"Conversion Error"))),"")</f>
      </c>
      <c r="C105" s="234">
        <f>IF(ISNUMBER('Data Entry'!$Q89),IF(ISNUMBER('Data Entry'!$M89),'Data Entry'!$M89,IF(ISNUMBER('Data Entry'!$N89),'Data Entry'!$N89,"Error")),"")</f>
      </c>
      <c r="D105" s="236">
        <f>IF(('Data Entry'!$Q89=""),"",IF(($B$3='Data Entry'!$B$8),($B105*COS(((360-$B$6)-$C105+90)*PI()/180)),IF(AND($B$3=0,'Data Entry'!$B$8=1),($B105*COS(((360-$B$6)-$C105+90)*PI()/180))/'Data Entry'!$B$9,IF(AND($B$3=1,'Data Entry'!$B$8=0),($B105*COS(((360-$B$6)-$C105+90)*PI()/180))*'Data Entry'!$B$9,"Conv. Error"))))</f>
      </c>
      <c r="E105" s="237">
        <f>IF(('Data Entry'!$Q89=""),"",IF(($B$3='Data Entry'!$B$8),($B105*SIN(((360-$B$6)-$C105+90)*PI()/180)),IF(AND($B$3=0,'Data Entry'!$B$8=1),($B105*SIN(((360-$B$6)-$C105+90)*PI()/180))/'Data Entry'!$B$9,IF(AND($B$3=1,'Data Entry'!$B$8=0),($B105*SIN(((360-$B$6)-$C105+90)*PI()/180))*'Data Entry'!$B$9,"Conv. Error"))))</f>
      </c>
      <c r="F105" s="234">
        <f t="shared" si="1"/>
      </c>
      <c r="G105" s="234">
        <f t="shared" si="1"/>
      </c>
      <c r="H105" s="258"/>
      <c r="I105" s="245"/>
      <c r="J105" s="245"/>
    </row>
    <row r="106" spans="1:10" ht="12.75">
      <c r="A106" s="235">
        <f>IF(ISNUMBER('Data Entry'!$Q90),'Data Entry'!A90,"")</f>
      </c>
      <c r="B106" s="234">
        <f>IF(ISNUMBER('Data Entry'!$Q90),IF($B$3='Data Entry'!$B$8,'Data Entry'!L90,IF(AND($B$3=0,'Data Entry'!$B$8=1),'Data Entry'!L90/'Data Entry'!$B$9,IF(AND($B$3=1,'Data Entry'!$B$8=0),'Data Entry'!L90*'Data Entry'!$B$9,"Conversion Error"))),"")</f>
      </c>
      <c r="C106" s="234">
        <f>IF(ISNUMBER('Data Entry'!$Q90),IF(ISNUMBER('Data Entry'!$M90),'Data Entry'!$M90,IF(ISNUMBER('Data Entry'!$N90),'Data Entry'!$N90,"Error")),"")</f>
      </c>
      <c r="D106" s="236">
        <f>IF(('Data Entry'!$Q90=""),"",IF(($B$3='Data Entry'!$B$8),($B106*COS(((360-$B$6)-$C106+90)*PI()/180)),IF(AND($B$3=0,'Data Entry'!$B$8=1),($B106*COS(((360-$B$6)-$C106+90)*PI()/180))/'Data Entry'!$B$9,IF(AND($B$3=1,'Data Entry'!$B$8=0),($B106*COS(((360-$B$6)-$C106+90)*PI()/180))*'Data Entry'!$B$9,"Conv. Error"))))</f>
      </c>
      <c r="E106" s="237">
        <f>IF(('Data Entry'!$Q90=""),"",IF(($B$3='Data Entry'!$B$8),($B106*SIN(((360-$B$6)-$C106+90)*PI()/180)),IF(AND($B$3=0,'Data Entry'!$B$8=1),($B106*SIN(((360-$B$6)-$C106+90)*PI()/180))/'Data Entry'!$B$9,IF(AND($B$3=1,'Data Entry'!$B$8=0),($B106*SIN(((360-$B$6)-$C106+90)*PI()/180))*'Data Entry'!$B$9,"Conv. Error"))))</f>
      </c>
      <c r="F106" s="234">
        <f t="shared" si="1"/>
      </c>
      <c r="G106" s="234">
        <f t="shared" si="1"/>
      </c>
      <c r="H106" s="258"/>
      <c r="I106" s="245"/>
      <c r="J106" s="245"/>
    </row>
    <row r="107" spans="1:10" ht="12.75">
      <c r="A107" s="235">
        <f>IF(ISNUMBER('Data Entry'!$Q91),'Data Entry'!A91,"")</f>
      </c>
      <c r="B107" s="234">
        <f>IF(ISNUMBER('Data Entry'!$Q91),IF($B$3='Data Entry'!$B$8,'Data Entry'!L91,IF(AND($B$3=0,'Data Entry'!$B$8=1),'Data Entry'!L91/'Data Entry'!$B$9,IF(AND($B$3=1,'Data Entry'!$B$8=0),'Data Entry'!L91*'Data Entry'!$B$9,"Conversion Error"))),"")</f>
      </c>
      <c r="C107" s="234">
        <f>IF(ISNUMBER('Data Entry'!$Q91),IF(ISNUMBER('Data Entry'!$M91),'Data Entry'!$M91,IF(ISNUMBER('Data Entry'!$N91),'Data Entry'!$N91,"Error")),"")</f>
      </c>
      <c r="D107" s="236">
        <f>IF(('Data Entry'!$Q91=""),"",IF(($B$3='Data Entry'!$B$8),($B107*COS(((360-$B$6)-$C107+90)*PI()/180)),IF(AND($B$3=0,'Data Entry'!$B$8=1),($B107*COS(((360-$B$6)-$C107+90)*PI()/180))/'Data Entry'!$B$9,IF(AND($B$3=1,'Data Entry'!$B$8=0),($B107*COS(((360-$B$6)-$C107+90)*PI()/180))*'Data Entry'!$B$9,"Conv. Error"))))</f>
      </c>
      <c r="E107" s="237">
        <f>IF(('Data Entry'!$Q91=""),"",IF(($B$3='Data Entry'!$B$8),($B107*SIN(((360-$B$6)-$C107+90)*PI()/180)),IF(AND($B$3=0,'Data Entry'!$B$8=1),($B107*SIN(((360-$B$6)-$C107+90)*PI()/180))/'Data Entry'!$B$9,IF(AND($B$3=1,'Data Entry'!$B$8=0),($B107*SIN(((360-$B$6)-$C107+90)*PI()/180))*'Data Entry'!$B$9,"Conv. Error"))))</f>
      </c>
      <c r="F107" s="234">
        <f t="shared" si="1"/>
      </c>
      <c r="G107" s="234">
        <f t="shared" si="1"/>
      </c>
      <c r="H107" s="258"/>
      <c r="I107" s="245"/>
      <c r="J107" s="245"/>
    </row>
    <row r="108" spans="1:10" ht="12.75">
      <c r="A108" s="235">
        <f>IF(ISNUMBER('Data Entry'!$Q92),'Data Entry'!A92,"")</f>
      </c>
      <c r="B108" s="234">
        <f>IF(ISNUMBER('Data Entry'!$Q92),IF($B$3='Data Entry'!$B$8,'Data Entry'!L92,IF(AND($B$3=0,'Data Entry'!$B$8=1),'Data Entry'!L92/'Data Entry'!$B$9,IF(AND($B$3=1,'Data Entry'!$B$8=0),'Data Entry'!L92*'Data Entry'!$B$9,"Conversion Error"))),"")</f>
      </c>
      <c r="C108" s="234">
        <f>IF(ISNUMBER('Data Entry'!$Q92),IF(ISNUMBER('Data Entry'!$M92),'Data Entry'!$M92,IF(ISNUMBER('Data Entry'!$N92),'Data Entry'!$N92,"Error")),"")</f>
      </c>
      <c r="D108" s="236">
        <f>IF(('Data Entry'!$Q92=""),"",IF(($B$3='Data Entry'!$B$8),($B108*COS(((360-$B$6)-$C108+90)*PI()/180)),IF(AND($B$3=0,'Data Entry'!$B$8=1),($B108*COS(((360-$B$6)-$C108+90)*PI()/180))/'Data Entry'!$B$9,IF(AND($B$3=1,'Data Entry'!$B$8=0),($B108*COS(((360-$B$6)-$C108+90)*PI()/180))*'Data Entry'!$B$9,"Conv. Error"))))</f>
      </c>
      <c r="E108" s="237">
        <f>IF(('Data Entry'!$Q92=""),"",IF(($B$3='Data Entry'!$B$8),($B108*SIN(((360-$B$6)-$C108+90)*PI()/180)),IF(AND($B$3=0,'Data Entry'!$B$8=1),($B108*SIN(((360-$B$6)-$C108+90)*PI()/180))/'Data Entry'!$B$9,IF(AND($B$3=1,'Data Entry'!$B$8=0),($B108*SIN(((360-$B$6)-$C108+90)*PI()/180))*'Data Entry'!$B$9,"Conv. Error"))))</f>
      </c>
      <c r="F108" s="234">
        <f t="shared" si="1"/>
      </c>
      <c r="G108" s="234">
        <f t="shared" si="1"/>
      </c>
      <c r="H108" s="258"/>
      <c r="I108" s="245"/>
      <c r="J108" s="245"/>
    </row>
    <row r="109" spans="1:10" ht="12.75">
      <c r="A109" s="235">
        <f>IF(ISNUMBER('Data Entry'!$Q93),'Data Entry'!A93,"")</f>
      </c>
      <c r="B109" s="234">
        <f>IF(ISNUMBER('Data Entry'!$Q93),IF($B$3='Data Entry'!$B$8,'Data Entry'!L93,IF(AND($B$3=0,'Data Entry'!$B$8=1),'Data Entry'!L93/'Data Entry'!$B$9,IF(AND($B$3=1,'Data Entry'!$B$8=0),'Data Entry'!L93*'Data Entry'!$B$9,"Conversion Error"))),"")</f>
      </c>
      <c r="C109" s="234">
        <f>IF(ISNUMBER('Data Entry'!$Q93),IF(ISNUMBER('Data Entry'!$M93),'Data Entry'!$M93,IF(ISNUMBER('Data Entry'!$N93),'Data Entry'!$N93,"Error")),"")</f>
      </c>
      <c r="D109" s="236">
        <f>IF(('Data Entry'!$Q93=""),"",IF(($B$3='Data Entry'!$B$8),($B109*COS(((360-$B$6)-$C109+90)*PI()/180)),IF(AND($B$3=0,'Data Entry'!$B$8=1),($B109*COS(((360-$B$6)-$C109+90)*PI()/180))/'Data Entry'!$B$9,IF(AND($B$3=1,'Data Entry'!$B$8=0),($B109*COS(((360-$B$6)-$C109+90)*PI()/180))*'Data Entry'!$B$9,"Conv. Error"))))</f>
      </c>
      <c r="E109" s="237">
        <f>IF(('Data Entry'!$Q93=""),"",IF(($B$3='Data Entry'!$B$8),($B109*SIN(((360-$B$6)-$C109+90)*PI()/180)),IF(AND($B$3=0,'Data Entry'!$B$8=1),($B109*SIN(((360-$B$6)-$C109+90)*PI()/180))/'Data Entry'!$B$9,IF(AND($B$3=1,'Data Entry'!$B$8=0),($B109*SIN(((360-$B$6)-$C109+90)*PI()/180))*'Data Entry'!$B$9,"Conv. Error"))))</f>
      </c>
      <c r="F109" s="234">
        <f t="shared" si="1"/>
      </c>
      <c r="G109" s="234">
        <f t="shared" si="1"/>
      </c>
      <c r="H109" s="258"/>
      <c r="I109" s="245"/>
      <c r="J109" s="245"/>
    </row>
    <row r="110" spans="1:10" ht="12.75">
      <c r="A110" s="235">
        <f>IF(ISNUMBER('Data Entry'!$Q94),'Data Entry'!A94,"")</f>
      </c>
      <c r="B110" s="234">
        <f>IF(ISNUMBER('Data Entry'!$Q94),IF($B$3='Data Entry'!$B$8,'Data Entry'!L94,IF(AND($B$3=0,'Data Entry'!$B$8=1),'Data Entry'!L94/'Data Entry'!$B$9,IF(AND($B$3=1,'Data Entry'!$B$8=0),'Data Entry'!L94*'Data Entry'!$B$9,"Conversion Error"))),"")</f>
      </c>
      <c r="C110" s="234">
        <f>IF(ISNUMBER('Data Entry'!$Q94),IF(ISNUMBER('Data Entry'!$M94),'Data Entry'!$M94,IF(ISNUMBER('Data Entry'!$N94),'Data Entry'!$N94,"Error")),"")</f>
      </c>
      <c r="D110" s="236">
        <f>IF(('Data Entry'!$Q94=""),"",IF(($B$3='Data Entry'!$B$8),($B110*COS(((360-$B$6)-$C110+90)*PI()/180)),IF(AND($B$3=0,'Data Entry'!$B$8=1),($B110*COS(((360-$B$6)-$C110+90)*PI()/180))/'Data Entry'!$B$9,IF(AND($B$3=1,'Data Entry'!$B$8=0),($B110*COS(((360-$B$6)-$C110+90)*PI()/180))*'Data Entry'!$B$9,"Conv. Error"))))</f>
      </c>
      <c r="E110" s="237">
        <f>IF(('Data Entry'!$Q94=""),"",IF(($B$3='Data Entry'!$B$8),($B110*SIN(((360-$B$6)-$C110+90)*PI()/180)),IF(AND($B$3=0,'Data Entry'!$B$8=1),($B110*SIN(((360-$B$6)-$C110+90)*PI()/180))/'Data Entry'!$B$9,IF(AND($B$3=1,'Data Entry'!$B$8=0),($B110*SIN(((360-$B$6)-$C110+90)*PI()/180))*'Data Entry'!$B$9,"Conv. Error"))))</f>
      </c>
      <c r="F110" s="234">
        <f t="shared" si="1"/>
      </c>
      <c r="G110" s="234">
        <f t="shared" si="1"/>
      </c>
      <c r="H110" s="258"/>
      <c r="I110" s="245"/>
      <c r="J110" s="245"/>
    </row>
    <row r="111" spans="1:10" ht="12.75">
      <c r="A111" s="235">
        <f>IF(ISNUMBER('Data Entry'!$Q95),'Data Entry'!A95,"")</f>
      </c>
      <c r="B111" s="234">
        <f>IF(ISNUMBER('Data Entry'!$Q95),IF($B$3='Data Entry'!$B$8,'Data Entry'!L95,IF(AND($B$3=0,'Data Entry'!$B$8=1),'Data Entry'!L95/'Data Entry'!$B$9,IF(AND($B$3=1,'Data Entry'!$B$8=0),'Data Entry'!L95*'Data Entry'!$B$9,"Conversion Error"))),"")</f>
      </c>
      <c r="C111" s="234">
        <f>IF(ISNUMBER('Data Entry'!$Q95),IF(ISNUMBER('Data Entry'!$M95),'Data Entry'!$M95,IF(ISNUMBER('Data Entry'!$N95),'Data Entry'!$N95,"Error")),"")</f>
      </c>
      <c r="D111" s="236">
        <f>IF(('Data Entry'!$Q95=""),"",IF(($B$3='Data Entry'!$B$8),($B111*COS(((360-$B$6)-$C111+90)*PI()/180)),IF(AND($B$3=0,'Data Entry'!$B$8=1),($B111*COS(((360-$B$6)-$C111+90)*PI()/180))/'Data Entry'!$B$9,IF(AND($B$3=1,'Data Entry'!$B$8=0),($B111*COS(((360-$B$6)-$C111+90)*PI()/180))*'Data Entry'!$B$9,"Conv. Error"))))</f>
      </c>
      <c r="E111" s="237">
        <f>IF(('Data Entry'!$Q95=""),"",IF(($B$3='Data Entry'!$B$8),($B111*SIN(((360-$B$6)-$C111+90)*PI()/180)),IF(AND($B$3=0,'Data Entry'!$B$8=1),($B111*SIN(((360-$B$6)-$C111+90)*PI()/180))/'Data Entry'!$B$9,IF(AND($B$3=1,'Data Entry'!$B$8=0),($B111*SIN(((360-$B$6)-$C111+90)*PI()/180))*'Data Entry'!$B$9,"Conv. Error"))))</f>
      </c>
      <c r="F111" s="234">
        <f t="shared" si="1"/>
      </c>
      <c r="G111" s="234">
        <f t="shared" si="1"/>
      </c>
      <c r="H111" s="258"/>
      <c r="I111" s="245"/>
      <c r="J111" s="245"/>
    </row>
    <row r="112" spans="1:10" ht="12.75">
      <c r="A112" s="235">
        <f>IF(ISNUMBER('Data Entry'!$Q96),'Data Entry'!A96,"")</f>
      </c>
      <c r="B112" s="234">
        <f>IF(ISNUMBER('Data Entry'!$Q96),IF($B$3='Data Entry'!$B$8,'Data Entry'!L96,IF(AND($B$3=0,'Data Entry'!$B$8=1),'Data Entry'!L96/'Data Entry'!$B$9,IF(AND($B$3=1,'Data Entry'!$B$8=0),'Data Entry'!L96*'Data Entry'!$B$9,"Conversion Error"))),"")</f>
      </c>
      <c r="C112" s="234">
        <f>IF(ISNUMBER('Data Entry'!$Q96),IF(ISNUMBER('Data Entry'!$M96),'Data Entry'!$M96,IF(ISNUMBER('Data Entry'!$N96),'Data Entry'!$N96,"Error")),"")</f>
      </c>
      <c r="D112" s="236">
        <f>IF(('Data Entry'!$Q96=""),"",IF(($B$3='Data Entry'!$B$8),($B112*COS(((360-$B$6)-$C112+90)*PI()/180)),IF(AND($B$3=0,'Data Entry'!$B$8=1),($B112*COS(((360-$B$6)-$C112+90)*PI()/180))/'Data Entry'!$B$9,IF(AND($B$3=1,'Data Entry'!$B$8=0),($B112*COS(((360-$B$6)-$C112+90)*PI()/180))*'Data Entry'!$B$9,"Conv. Error"))))</f>
      </c>
      <c r="E112" s="237">
        <f>IF(('Data Entry'!$Q96=""),"",IF(($B$3='Data Entry'!$B$8),($B112*SIN(((360-$B$6)-$C112+90)*PI()/180)),IF(AND($B$3=0,'Data Entry'!$B$8=1),($B112*SIN(((360-$B$6)-$C112+90)*PI()/180))/'Data Entry'!$B$9,IF(AND($B$3=1,'Data Entry'!$B$8=0),($B112*SIN(((360-$B$6)-$C112+90)*PI()/180))*'Data Entry'!$B$9,"Conv. Error"))))</f>
      </c>
      <c r="F112" s="234">
        <f t="shared" si="1"/>
      </c>
      <c r="G112" s="234">
        <f t="shared" si="1"/>
      </c>
      <c r="H112" s="258"/>
      <c r="I112" s="245"/>
      <c r="J112" s="245"/>
    </row>
    <row r="113" spans="1:10" ht="12.75">
      <c r="A113" s="235">
        <f>IF(ISNUMBER('Data Entry'!$Q97),'Data Entry'!A97,"")</f>
      </c>
      <c r="B113" s="234">
        <f>IF(ISNUMBER('Data Entry'!$Q97),IF($B$3='Data Entry'!$B$8,'Data Entry'!L97,IF(AND($B$3=0,'Data Entry'!$B$8=1),'Data Entry'!L97/'Data Entry'!$B$9,IF(AND($B$3=1,'Data Entry'!$B$8=0),'Data Entry'!L97*'Data Entry'!$B$9,"Conversion Error"))),"")</f>
      </c>
      <c r="C113" s="234">
        <f>IF(ISNUMBER('Data Entry'!$Q97),IF(ISNUMBER('Data Entry'!$M97),'Data Entry'!$M97,IF(ISNUMBER('Data Entry'!$N97),'Data Entry'!$N97,"Error")),"")</f>
      </c>
      <c r="D113" s="236">
        <f>IF(('Data Entry'!$Q97=""),"",IF(($B$3='Data Entry'!$B$8),($B113*COS(((360-$B$6)-$C113+90)*PI()/180)),IF(AND($B$3=0,'Data Entry'!$B$8=1),($B113*COS(((360-$B$6)-$C113+90)*PI()/180))/'Data Entry'!$B$9,IF(AND($B$3=1,'Data Entry'!$B$8=0),($B113*COS(((360-$B$6)-$C113+90)*PI()/180))*'Data Entry'!$B$9,"Conv. Error"))))</f>
      </c>
      <c r="E113" s="237">
        <f>IF(('Data Entry'!$Q97=""),"",IF(($B$3='Data Entry'!$B$8),($B113*SIN(((360-$B$6)-$C113+90)*PI()/180)),IF(AND($B$3=0,'Data Entry'!$B$8=1),($B113*SIN(((360-$B$6)-$C113+90)*PI()/180))/'Data Entry'!$B$9,IF(AND($B$3=1,'Data Entry'!$B$8=0),($B113*SIN(((360-$B$6)-$C113+90)*PI()/180))*'Data Entry'!$B$9,"Conv. Error"))))</f>
      </c>
      <c r="F113" s="234">
        <f t="shared" si="1"/>
      </c>
      <c r="G113" s="234">
        <f t="shared" si="1"/>
      </c>
      <c r="H113" s="258"/>
      <c r="I113" s="245"/>
      <c r="J113" s="245"/>
    </row>
    <row r="114" spans="1:10" ht="12.75">
      <c r="A114" s="235">
        <f>IF(ISNUMBER('Data Entry'!$Q98),'Data Entry'!A98,"")</f>
      </c>
      <c r="B114" s="234">
        <f>IF(ISNUMBER('Data Entry'!$Q98),IF($B$3='Data Entry'!$B$8,'Data Entry'!L98,IF(AND($B$3=0,'Data Entry'!$B$8=1),'Data Entry'!L98/'Data Entry'!$B$9,IF(AND($B$3=1,'Data Entry'!$B$8=0),'Data Entry'!L98*'Data Entry'!$B$9,"Conversion Error"))),"")</f>
      </c>
      <c r="C114" s="234">
        <f>IF(ISNUMBER('Data Entry'!$Q98),IF(ISNUMBER('Data Entry'!$M98),'Data Entry'!$M98,IF(ISNUMBER('Data Entry'!$N98),'Data Entry'!$N98,"Error")),"")</f>
      </c>
      <c r="D114" s="236">
        <f>IF(('Data Entry'!$Q98=""),"",IF(($B$3='Data Entry'!$B$8),($B114*COS(((360-$B$6)-$C114+90)*PI()/180)),IF(AND($B$3=0,'Data Entry'!$B$8=1),($B114*COS(((360-$B$6)-$C114+90)*PI()/180))/'Data Entry'!$B$9,IF(AND($B$3=1,'Data Entry'!$B$8=0),($B114*COS(((360-$B$6)-$C114+90)*PI()/180))*'Data Entry'!$B$9,"Conv. Error"))))</f>
      </c>
      <c r="E114" s="237">
        <f>IF(('Data Entry'!$Q98=""),"",IF(($B$3='Data Entry'!$B$8),($B114*SIN(((360-$B$6)-$C114+90)*PI()/180)),IF(AND($B$3=0,'Data Entry'!$B$8=1),($B114*SIN(((360-$B$6)-$C114+90)*PI()/180))/'Data Entry'!$B$9,IF(AND($B$3=1,'Data Entry'!$B$8=0),($B114*SIN(((360-$B$6)-$C114+90)*PI()/180))*'Data Entry'!$B$9,"Conv. Error"))))</f>
      </c>
      <c r="F114" s="234">
        <f t="shared" si="1"/>
      </c>
      <c r="G114" s="234">
        <f t="shared" si="1"/>
      </c>
      <c r="H114" s="258"/>
      <c r="I114" s="245"/>
      <c r="J114" s="245"/>
    </row>
    <row r="115" spans="1:10" ht="12.75">
      <c r="A115" s="235">
        <f>IF(ISNUMBER('Data Entry'!$Q99),'Data Entry'!A99,"")</f>
      </c>
      <c r="B115" s="234">
        <f>IF(ISNUMBER('Data Entry'!$Q99),IF($B$3='Data Entry'!$B$8,'Data Entry'!L99,IF(AND($B$3=0,'Data Entry'!$B$8=1),'Data Entry'!L99/'Data Entry'!$B$9,IF(AND($B$3=1,'Data Entry'!$B$8=0),'Data Entry'!L99*'Data Entry'!$B$9,"Conversion Error"))),"")</f>
      </c>
      <c r="C115" s="234">
        <f>IF(ISNUMBER('Data Entry'!$Q99),IF(ISNUMBER('Data Entry'!$M99),'Data Entry'!$M99,IF(ISNUMBER('Data Entry'!$N99),'Data Entry'!$N99,"Error")),"")</f>
      </c>
      <c r="D115" s="236">
        <f>IF(('Data Entry'!$Q99=""),"",IF(($B$3='Data Entry'!$B$8),($B115*COS(((360-$B$6)-$C115+90)*PI()/180)),IF(AND($B$3=0,'Data Entry'!$B$8=1),($B115*COS(((360-$B$6)-$C115+90)*PI()/180))/'Data Entry'!$B$9,IF(AND($B$3=1,'Data Entry'!$B$8=0),($B115*COS(((360-$B$6)-$C115+90)*PI()/180))*'Data Entry'!$B$9,"Conv. Error"))))</f>
      </c>
      <c r="E115" s="237">
        <f>IF(('Data Entry'!$Q99=""),"",IF(($B$3='Data Entry'!$B$8),($B115*SIN(((360-$B$6)-$C115+90)*PI()/180)),IF(AND($B$3=0,'Data Entry'!$B$8=1),($B115*SIN(((360-$B$6)-$C115+90)*PI()/180))/'Data Entry'!$B$9,IF(AND($B$3=1,'Data Entry'!$B$8=0),($B115*SIN(((360-$B$6)-$C115+90)*PI()/180))*'Data Entry'!$B$9,"Conv. Error"))))</f>
      </c>
      <c r="F115" s="234">
        <f t="shared" si="1"/>
      </c>
      <c r="G115" s="234">
        <f t="shared" si="1"/>
      </c>
      <c r="H115" s="258"/>
      <c r="I115" s="245"/>
      <c r="J115" s="245"/>
    </row>
    <row r="116" spans="1:10" ht="12.75">
      <c r="A116" s="235">
        <f>IF(ISNUMBER('Data Entry'!$Q100),'Data Entry'!A100,"")</f>
      </c>
      <c r="B116" s="234">
        <f>IF(ISNUMBER('Data Entry'!$Q100),IF($B$3='Data Entry'!$B$8,'Data Entry'!L100,IF(AND($B$3=0,'Data Entry'!$B$8=1),'Data Entry'!L100/'Data Entry'!$B$9,IF(AND($B$3=1,'Data Entry'!$B$8=0),'Data Entry'!L100*'Data Entry'!$B$9,"Conversion Error"))),"")</f>
      </c>
      <c r="C116" s="234">
        <f>IF(ISNUMBER('Data Entry'!$Q100),IF(ISNUMBER('Data Entry'!$M100),'Data Entry'!$M100,IF(ISNUMBER('Data Entry'!$N100),'Data Entry'!$N100,"Error")),"")</f>
      </c>
      <c r="D116" s="236">
        <f>IF(('Data Entry'!$Q100=""),"",IF(($B$3='Data Entry'!$B$8),($B116*COS(((360-$B$6)-$C116+90)*PI()/180)),IF(AND($B$3=0,'Data Entry'!$B$8=1),($B116*COS(((360-$B$6)-$C116+90)*PI()/180))/'Data Entry'!$B$9,IF(AND($B$3=1,'Data Entry'!$B$8=0),($B116*COS(((360-$B$6)-$C116+90)*PI()/180))*'Data Entry'!$B$9,"Conv. Error"))))</f>
      </c>
      <c r="E116" s="237">
        <f>IF(('Data Entry'!$Q100=""),"",IF(($B$3='Data Entry'!$B$8),($B116*SIN(((360-$B$6)-$C116+90)*PI()/180)),IF(AND($B$3=0,'Data Entry'!$B$8=1),($B116*SIN(((360-$B$6)-$C116+90)*PI()/180))/'Data Entry'!$B$9,IF(AND($B$3=1,'Data Entry'!$B$8=0),($B116*SIN(((360-$B$6)-$C116+90)*PI()/180))*'Data Entry'!$B$9,"Conv. Error"))))</f>
      </c>
      <c r="F116" s="234">
        <f t="shared" si="1"/>
      </c>
      <c r="G116" s="234">
        <f t="shared" si="1"/>
      </c>
      <c r="H116" s="258"/>
      <c r="I116" s="245"/>
      <c r="J116" s="245"/>
    </row>
    <row r="117" spans="1:10" ht="12.75">
      <c r="A117" s="235">
        <f>IF(ISNUMBER('Data Entry'!$Q101),'Data Entry'!A101,"")</f>
      </c>
      <c r="B117" s="234">
        <f>IF(ISNUMBER('Data Entry'!$Q101),IF($B$3='Data Entry'!$B$8,'Data Entry'!L101,IF(AND($B$3=0,'Data Entry'!$B$8=1),'Data Entry'!L101/'Data Entry'!$B$9,IF(AND($B$3=1,'Data Entry'!$B$8=0),'Data Entry'!L101*'Data Entry'!$B$9,"Conversion Error"))),"")</f>
      </c>
      <c r="C117" s="234">
        <f>IF(ISNUMBER('Data Entry'!$Q101),IF(ISNUMBER('Data Entry'!$M101),'Data Entry'!$M101,IF(ISNUMBER('Data Entry'!$N101),'Data Entry'!$N101,"Error")),"")</f>
      </c>
      <c r="D117" s="236">
        <f>IF(('Data Entry'!$Q101=""),"",IF(($B$3='Data Entry'!$B$8),($B117*COS(((360-$B$6)-$C117+90)*PI()/180)),IF(AND($B$3=0,'Data Entry'!$B$8=1),($B117*COS(((360-$B$6)-$C117+90)*PI()/180))/'Data Entry'!$B$9,IF(AND($B$3=1,'Data Entry'!$B$8=0),($B117*COS(((360-$B$6)-$C117+90)*PI()/180))*'Data Entry'!$B$9,"Conv. Error"))))</f>
      </c>
      <c r="E117" s="237">
        <f>IF(('Data Entry'!$Q101=""),"",IF(($B$3='Data Entry'!$B$8),($B117*SIN(((360-$B$6)-$C117+90)*PI()/180)),IF(AND($B$3=0,'Data Entry'!$B$8=1),($B117*SIN(((360-$B$6)-$C117+90)*PI()/180))/'Data Entry'!$B$9,IF(AND($B$3=1,'Data Entry'!$B$8=0),($B117*SIN(((360-$B$6)-$C117+90)*PI()/180))*'Data Entry'!$B$9,"Conv. Error"))))</f>
      </c>
      <c r="F117" s="234">
        <f t="shared" si="1"/>
      </c>
      <c r="G117" s="234">
        <f t="shared" si="1"/>
      </c>
      <c r="H117" s="258"/>
      <c r="I117" s="245"/>
      <c r="J117" s="245"/>
    </row>
    <row r="118" spans="1:10" ht="12.75">
      <c r="A118" s="235">
        <f>IF(ISNUMBER('Data Entry'!$Q102),'Data Entry'!A102,"")</f>
      </c>
      <c r="B118" s="234">
        <f>IF(ISNUMBER('Data Entry'!$Q102),IF($B$3='Data Entry'!$B$8,'Data Entry'!L102,IF(AND($B$3=0,'Data Entry'!$B$8=1),'Data Entry'!L102/'Data Entry'!$B$9,IF(AND($B$3=1,'Data Entry'!$B$8=0),'Data Entry'!L102*'Data Entry'!$B$9,"Conversion Error"))),"")</f>
      </c>
      <c r="C118" s="234">
        <f>IF(ISNUMBER('Data Entry'!$Q102),IF(ISNUMBER('Data Entry'!$M102),'Data Entry'!$M102,IF(ISNUMBER('Data Entry'!$N102),'Data Entry'!$N102,"Error")),"")</f>
      </c>
      <c r="D118" s="236">
        <f>IF(('Data Entry'!$Q102=""),"",IF(($B$3='Data Entry'!$B$8),($B118*COS(((360-$B$6)-$C118+90)*PI()/180)),IF(AND($B$3=0,'Data Entry'!$B$8=1),($B118*COS(((360-$B$6)-$C118+90)*PI()/180))/'Data Entry'!$B$9,IF(AND($B$3=1,'Data Entry'!$B$8=0),($B118*COS(((360-$B$6)-$C118+90)*PI()/180))*'Data Entry'!$B$9,"Conv. Error"))))</f>
      </c>
      <c r="E118" s="237">
        <f>IF(('Data Entry'!$Q102=""),"",IF(($B$3='Data Entry'!$B$8),($B118*SIN(((360-$B$6)-$C118+90)*PI()/180)),IF(AND($B$3=0,'Data Entry'!$B$8=1),($B118*SIN(((360-$B$6)-$C118+90)*PI()/180))/'Data Entry'!$B$9,IF(AND($B$3=1,'Data Entry'!$B$8=0),($B118*SIN(((360-$B$6)-$C118+90)*PI()/180))*'Data Entry'!$B$9,"Conv. Error"))))</f>
      </c>
      <c r="F118" s="234">
        <f t="shared" si="1"/>
      </c>
      <c r="G118" s="234">
        <f t="shared" si="1"/>
      </c>
      <c r="H118" s="258"/>
      <c r="I118" s="245"/>
      <c r="J118" s="245"/>
    </row>
    <row r="119" spans="1:10" ht="12.75">
      <c r="A119" s="235">
        <f>IF(ISNUMBER('Data Entry'!$Q103),'Data Entry'!A103,"")</f>
      </c>
      <c r="B119" s="234">
        <f>IF(ISNUMBER('Data Entry'!$Q103),IF($B$3='Data Entry'!$B$8,'Data Entry'!L103,IF(AND($B$3=0,'Data Entry'!$B$8=1),'Data Entry'!L103/'Data Entry'!$B$9,IF(AND($B$3=1,'Data Entry'!$B$8=0),'Data Entry'!L103*'Data Entry'!$B$9,"Conversion Error"))),"")</f>
      </c>
      <c r="C119" s="234">
        <f>IF(ISNUMBER('Data Entry'!$Q103),IF(ISNUMBER('Data Entry'!$M103),'Data Entry'!$M103,IF(ISNUMBER('Data Entry'!$N103),'Data Entry'!$N103,"Error")),"")</f>
      </c>
      <c r="D119" s="236">
        <f>IF(('Data Entry'!$Q103=""),"",IF(($B$3='Data Entry'!$B$8),($B119*COS(((360-$B$6)-$C119+90)*PI()/180)),IF(AND($B$3=0,'Data Entry'!$B$8=1),($B119*COS(((360-$B$6)-$C119+90)*PI()/180))/'Data Entry'!$B$9,IF(AND($B$3=1,'Data Entry'!$B$8=0),($B119*COS(((360-$B$6)-$C119+90)*PI()/180))*'Data Entry'!$B$9,"Conv. Error"))))</f>
      </c>
      <c r="E119" s="237">
        <f>IF(('Data Entry'!$Q103=""),"",IF(($B$3='Data Entry'!$B$8),($B119*SIN(((360-$B$6)-$C119+90)*PI()/180)),IF(AND($B$3=0,'Data Entry'!$B$8=1),($B119*SIN(((360-$B$6)-$C119+90)*PI()/180))/'Data Entry'!$B$9,IF(AND($B$3=1,'Data Entry'!$B$8=0),($B119*SIN(((360-$B$6)-$C119+90)*PI()/180))*'Data Entry'!$B$9,"Conv. Error"))))</f>
      </c>
      <c r="F119" s="234">
        <f t="shared" si="1"/>
      </c>
      <c r="G119" s="234">
        <f t="shared" si="1"/>
      </c>
      <c r="H119" s="258"/>
      <c r="I119" s="245"/>
      <c r="J119" s="245"/>
    </row>
    <row r="120" spans="1:10" ht="12.75">
      <c r="A120" s="235">
        <f>IF(ISNUMBER('Data Entry'!$Q104),'Data Entry'!A104,"")</f>
      </c>
      <c r="B120" s="234">
        <f>IF(ISNUMBER('Data Entry'!$Q104),IF($B$3='Data Entry'!$B$8,'Data Entry'!L104,IF(AND($B$3=0,'Data Entry'!$B$8=1),'Data Entry'!L104/'Data Entry'!$B$9,IF(AND($B$3=1,'Data Entry'!$B$8=0),'Data Entry'!L104*'Data Entry'!$B$9,"Conversion Error"))),"")</f>
      </c>
      <c r="C120" s="234">
        <f>IF(ISNUMBER('Data Entry'!$Q104),IF(ISNUMBER('Data Entry'!$M104),'Data Entry'!$M104,IF(ISNUMBER('Data Entry'!$N104),'Data Entry'!$N104,"Error")),"")</f>
      </c>
      <c r="D120" s="236">
        <f>IF(('Data Entry'!$Q104=""),"",IF(($B$3='Data Entry'!$B$8),($B120*COS(((360-$B$6)-$C120+90)*PI()/180)),IF(AND($B$3=0,'Data Entry'!$B$8=1),($B120*COS(((360-$B$6)-$C120+90)*PI()/180))/'Data Entry'!$B$9,IF(AND($B$3=1,'Data Entry'!$B$8=0),($B120*COS(((360-$B$6)-$C120+90)*PI()/180))*'Data Entry'!$B$9,"Conv. Error"))))</f>
      </c>
      <c r="E120" s="237">
        <f>IF(('Data Entry'!$Q104=""),"",IF(($B$3='Data Entry'!$B$8),($B120*SIN(((360-$B$6)-$C120+90)*PI()/180)),IF(AND($B$3=0,'Data Entry'!$B$8=1),($B120*SIN(((360-$B$6)-$C120+90)*PI()/180))/'Data Entry'!$B$9,IF(AND($B$3=1,'Data Entry'!$B$8=0),($B120*SIN(((360-$B$6)-$C120+90)*PI()/180))*'Data Entry'!$B$9,"Conv. Error"))))</f>
      </c>
      <c r="F120" s="234">
        <f t="shared" si="1"/>
      </c>
      <c r="G120" s="234">
        <f t="shared" si="1"/>
      </c>
      <c r="H120" s="258"/>
      <c r="I120" s="245"/>
      <c r="J120" s="245"/>
    </row>
    <row r="121" spans="1:10" ht="12.75">
      <c r="A121" s="235">
        <f>IF(ISNUMBER('Data Entry'!$Q105),'Data Entry'!A105,"")</f>
      </c>
      <c r="B121" s="234">
        <f>IF(ISNUMBER('Data Entry'!$Q105),IF($B$3='Data Entry'!$B$8,'Data Entry'!L105,IF(AND($B$3=0,'Data Entry'!$B$8=1),'Data Entry'!L105/'Data Entry'!$B$9,IF(AND($B$3=1,'Data Entry'!$B$8=0),'Data Entry'!L105*'Data Entry'!$B$9,"Conversion Error"))),"")</f>
      </c>
      <c r="C121" s="234">
        <f>IF(ISNUMBER('Data Entry'!$Q105),IF(ISNUMBER('Data Entry'!$M105),'Data Entry'!$M105,IF(ISNUMBER('Data Entry'!$N105),'Data Entry'!$N105,"Error")),"")</f>
      </c>
      <c r="D121" s="236">
        <f>IF(('Data Entry'!$Q105=""),"",IF(($B$3='Data Entry'!$B$8),($B121*COS(((360-$B$6)-$C121+90)*PI()/180)),IF(AND($B$3=0,'Data Entry'!$B$8=1),($B121*COS(((360-$B$6)-$C121+90)*PI()/180))/'Data Entry'!$B$9,IF(AND($B$3=1,'Data Entry'!$B$8=0),($B121*COS(((360-$B$6)-$C121+90)*PI()/180))*'Data Entry'!$B$9,"Conv. Error"))))</f>
      </c>
      <c r="E121" s="237">
        <f>IF(('Data Entry'!$Q105=""),"",IF(($B$3='Data Entry'!$B$8),($B121*SIN(((360-$B$6)-$C121+90)*PI()/180)),IF(AND($B$3=0,'Data Entry'!$B$8=1),($B121*SIN(((360-$B$6)-$C121+90)*PI()/180))/'Data Entry'!$B$9,IF(AND($B$3=1,'Data Entry'!$B$8=0),($B121*SIN(((360-$B$6)-$C121+90)*PI()/180))*'Data Entry'!$B$9,"Conv. Error"))))</f>
      </c>
      <c r="F121" s="234">
        <f t="shared" si="1"/>
      </c>
      <c r="G121" s="234">
        <f t="shared" si="1"/>
      </c>
      <c r="H121" s="258"/>
      <c r="I121" s="245"/>
      <c r="J121" s="245"/>
    </row>
    <row r="122" spans="1:10" ht="12.75">
      <c r="A122" s="235">
        <f>IF(ISNUMBER('Data Entry'!$Q106),'Data Entry'!A106,"")</f>
      </c>
      <c r="B122" s="234">
        <f>IF(ISNUMBER('Data Entry'!$Q106),IF($B$3='Data Entry'!$B$8,'Data Entry'!L106,IF(AND($B$3=0,'Data Entry'!$B$8=1),'Data Entry'!L106/'Data Entry'!$B$9,IF(AND($B$3=1,'Data Entry'!$B$8=0),'Data Entry'!L106*'Data Entry'!$B$9,"Conversion Error"))),"")</f>
      </c>
      <c r="C122" s="234">
        <f>IF(ISNUMBER('Data Entry'!$Q106),IF(ISNUMBER('Data Entry'!$M106),'Data Entry'!$M106,IF(ISNUMBER('Data Entry'!$N106),'Data Entry'!$N106,"Error")),"")</f>
      </c>
      <c r="D122" s="236">
        <f>IF(('Data Entry'!$Q106=""),"",IF(($B$3='Data Entry'!$B$8),($B122*COS(((360-$B$6)-$C122+90)*PI()/180)),IF(AND($B$3=0,'Data Entry'!$B$8=1),($B122*COS(((360-$B$6)-$C122+90)*PI()/180))/'Data Entry'!$B$9,IF(AND($B$3=1,'Data Entry'!$B$8=0),($B122*COS(((360-$B$6)-$C122+90)*PI()/180))*'Data Entry'!$B$9,"Conv. Error"))))</f>
      </c>
      <c r="E122" s="237">
        <f>IF(('Data Entry'!$Q106=""),"",IF(($B$3='Data Entry'!$B$8),($B122*SIN(((360-$B$6)-$C122+90)*PI()/180)),IF(AND($B$3=0,'Data Entry'!$B$8=1),($B122*SIN(((360-$B$6)-$C122+90)*PI()/180))/'Data Entry'!$B$9,IF(AND($B$3=1,'Data Entry'!$B$8=0),($B122*SIN(((360-$B$6)-$C122+90)*PI()/180))*'Data Entry'!$B$9,"Conv. Error"))))</f>
      </c>
      <c r="F122" s="234">
        <f t="shared" si="1"/>
      </c>
      <c r="G122" s="234">
        <f t="shared" si="1"/>
      </c>
      <c r="H122" s="258"/>
      <c r="I122" s="245"/>
      <c r="J122" s="245"/>
    </row>
    <row r="123" spans="1:10" ht="12.75">
      <c r="A123" s="235">
        <f>IF(ISNUMBER('Data Entry'!$Q107),'Data Entry'!A107,"")</f>
      </c>
      <c r="B123" s="234">
        <f>IF(ISNUMBER('Data Entry'!$Q107),IF($B$3='Data Entry'!$B$8,'Data Entry'!L107,IF(AND($B$3=0,'Data Entry'!$B$8=1),'Data Entry'!L107/'Data Entry'!$B$9,IF(AND($B$3=1,'Data Entry'!$B$8=0),'Data Entry'!L107*'Data Entry'!$B$9,"Conversion Error"))),"")</f>
      </c>
      <c r="C123" s="234">
        <f>IF(ISNUMBER('Data Entry'!$Q107),IF(ISNUMBER('Data Entry'!$M107),'Data Entry'!$M107,IF(ISNUMBER('Data Entry'!$N107),'Data Entry'!$N107,"Error")),"")</f>
      </c>
      <c r="D123" s="236">
        <f>IF(('Data Entry'!$Q107=""),"",IF(($B$3='Data Entry'!$B$8),($B123*COS(((360-$B$6)-$C123+90)*PI()/180)),IF(AND($B$3=0,'Data Entry'!$B$8=1),($B123*COS(((360-$B$6)-$C123+90)*PI()/180))/'Data Entry'!$B$9,IF(AND($B$3=1,'Data Entry'!$B$8=0),($B123*COS(((360-$B$6)-$C123+90)*PI()/180))*'Data Entry'!$B$9,"Conv. Error"))))</f>
      </c>
      <c r="E123" s="237">
        <f>IF(('Data Entry'!$Q107=""),"",IF(($B$3='Data Entry'!$B$8),($B123*SIN(((360-$B$6)-$C123+90)*PI()/180)),IF(AND($B$3=0,'Data Entry'!$B$8=1),($B123*SIN(((360-$B$6)-$C123+90)*PI()/180))/'Data Entry'!$B$9,IF(AND($B$3=1,'Data Entry'!$B$8=0),($B123*SIN(((360-$B$6)-$C123+90)*PI()/180))*'Data Entry'!$B$9,"Conv. Error"))))</f>
      </c>
      <c r="F123" s="234">
        <f t="shared" si="1"/>
      </c>
      <c r="G123" s="234">
        <f t="shared" si="1"/>
      </c>
      <c r="H123" s="258"/>
      <c r="I123" s="245"/>
      <c r="J123" s="245"/>
    </row>
    <row r="124" spans="1:10" ht="12.75">
      <c r="A124" s="235">
        <f>IF(ISNUMBER('Data Entry'!$Q108),'Data Entry'!A108,"")</f>
      </c>
      <c r="B124" s="234">
        <f>IF(ISNUMBER('Data Entry'!$Q108),IF($B$3='Data Entry'!$B$8,'Data Entry'!L108,IF(AND($B$3=0,'Data Entry'!$B$8=1),'Data Entry'!L108/'Data Entry'!$B$9,IF(AND($B$3=1,'Data Entry'!$B$8=0),'Data Entry'!L108*'Data Entry'!$B$9,"Conversion Error"))),"")</f>
      </c>
      <c r="C124" s="234">
        <f>IF(ISNUMBER('Data Entry'!$Q108),IF(ISNUMBER('Data Entry'!$M108),'Data Entry'!$M108,IF(ISNUMBER('Data Entry'!$N108),'Data Entry'!$N108,"Error")),"")</f>
      </c>
      <c r="D124" s="236">
        <f>IF(('Data Entry'!$Q108=""),"",IF(($B$3='Data Entry'!$B$8),($B124*COS(((360-$B$6)-$C124+90)*PI()/180)),IF(AND($B$3=0,'Data Entry'!$B$8=1),($B124*COS(((360-$B$6)-$C124+90)*PI()/180))/'Data Entry'!$B$9,IF(AND($B$3=1,'Data Entry'!$B$8=0),($B124*COS(((360-$B$6)-$C124+90)*PI()/180))*'Data Entry'!$B$9,"Conv. Error"))))</f>
      </c>
      <c r="E124" s="237">
        <f>IF(('Data Entry'!$Q108=""),"",IF(($B$3='Data Entry'!$B$8),($B124*SIN(((360-$B$6)-$C124+90)*PI()/180)),IF(AND($B$3=0,'Data Entry'!$B$8=1),($B124*SIN(((360-$B$6)-$C124+90)*PI()/180))/'Data Entry'!$B$9,IF(AND($B$3=1,'Data Entry'!$B$8=0),($B124*SIN(((360-$B$6)-$C124+90)*PI()/180))*'Data Entry'!$B$9,"Conv. Error"))))</f>
      </c>
      <c r="F124" s="234">
        <f t="shared" si="1"/>
      </c>
      <c r="G124" s="234">
        <f t="shared" si="1"/>
      </c>
      <c r="H124" s="258"/>
      <c r="I124" s="245"/>
      <c r="J124" s="245"/>
    </row>
    <row r="125" spans="1:10" ht="12.75">
      <c r="A125" s="235">
        <f>IF(ISNUMBER('Data Entry'!$Q109),'Data Entry'!A109,"")</f>
      </c>
      <c r="B125" s="234">
        <f>IF(ISNUMBER('Data Entry'!$Q109),IF($B$3='Data Entry'!$B$8,'Data Entry'!L109,IF(AND($B$3=0,'Data Entry'!$B$8=1),'Data Entry'!L109/'Data Entry'!$B$9,IF(AND($B$3=1,'Data Entry'!$B$8=0),'Data Entry'!L109*'Data Entry'!$B$9,"Conversion Error"))),"")</f>
      </c>
      <c r="C125" s="234">
        <f>IF(ISNUMBER('Data Entry'!$Q109),IF(ISNUMBER('Data Entry'!$M109),'Data Entry'!$M109,IF(ISNUMBER('Data Entry'!$N109),'Data Entry'!$N109,"Error")),"")</f>
      </c>
      <c r="D125" s="236">
        <f>IF(('Data Entry'!$Q109=""),"",IF(($B$3='Data Entry'!$B$8),($B125*COS(((360-$B$6)-$C125+90)*PI()/180)),IF(AND($B$3=0,'Data Entry'!$B$8=1),($B125*COS(((360-$B$6)-$C125+90)*PI()/180))/'Data Entry'!$B$9,IF(AND($B$3=1,'Data Entry'!$B$8=0),($B125*COS(((360-$B$6)-$C125+90)*PI()/180))*'Data Entry'!$B$9,"Conv. Error"))))</f>
      </c>
      <c r="E125" s="237">
        <f>IF(('Data Entry'!$Q109=""),"",IF(($B$3='Data Entry'!$B$8),($B125*SIN(((360-$B$6)-$C125+90)*PI()/180)),IF(AND($B$3=0,'Data Entry'!$B$8=1),($B125*SIN(((360-$B$6)-$C125+90)*PI()/180))/'Data Entry'!$B$9,IF(AND($B$3=1,'Data Entry'!$B$8=0),($B125*SIN(((360-$B$6)-$C125+90)*PI()/180))*'Data Entry'!$B$9,"Conv. Error"))))</f>
      </c>
      <c r="F125" s="234">
        <f t="shared" si="1"/>
      </c>
      <c r="G125" s="234">
        <f t="shared" si="1"/>
      </c>
      <c r="H125" s="258"/>
      <c r="I125" s="245"/>
      <c r="J125" s="245"/>
    </row>
    <row r="126" spans="1:10" ht="12.75">
      <c r="A126" s="235">
        <f>IF(ISNUMBER('Data Entry'!$Q110),'Data Entry'!A110,"")</f>
      </c>
      <c r="B126" s="234">
        <f>IF(ISNUMBER('Data Entry'!$Q110),IF($B$3='Data Entry'!$B$8,'Data Entry'!L110,IF(AND($B$3=0,'Data Entry'!$B$8=1),'Data Entry'!L110/'Data Entry'!$B$9,IF(AND($B$3=1,'Data Entry'!$B$8=0),'Data Entry'!L110*'Data Entry'!$B$9,"Conversion Error"))),"")</f>
      </c>
      <c r="C126" s="234">
        <f>IF(ISNUMBER('Data Entry'!$Q110),IF(ISNUMBER('Data Entry'!$M110),'Data Entry'!$M110,IF(ISNUMBER('Data Entry'!$N110),'Data Entry'!$N110,"Error")),"")</f>
      </c>
      <c r="D126" s="236">
        <f>IF(('Data Entry'!$Q110=""),"",IF(($B$3='Data Entry'!$B$8),($B126*COS(((360-$B$6)-$C126+90)*PI()/180)),IF(AND($B$3=0,'Data Entry'!$B$8=1),($B126*COS(((360-$B$6)-$C126+90)*PI()/180))/'Data Entry'!$B$9,IF(AND($B$3=1,'Data Entry'!$B$8=0),($B126*COS(((360-$B$6)-$C126+90)*PI()/180))*'Data Entry'!$B$9,"Conv. Error"))))</f>
      </c>
      <c r="E126" s="237">
        <f>IF(('Data Entry'!$Q110=""),"",IF(($B$3='Data Entry'!$B$8),($B126*SIN(((360-$B$6)-$C126+90)*PI()/180)),IF(AND($B$3=0,'Data Entry'!$B$8=1),($B126*SIN(((360-$B$6)-$C126+90)*PI()/180))/'Data Entry'!$B$9,IF(AND($B$3=1,'Data Entry'!$B$8=0),($B126*SIN(((360-$B$6)-$C126+90)*PI()/180))*'Data Entry'!$B$9,"Conv. Error"))))</f>
      </c>
      <c r="F126" s="234">
        <f t="shared" si="1"/>
      </c>
      <c r="G126" s="234">
        <f t="shared" si="1"/>
      </c>
      <c r="H126" s="258"/>
      <c r="I126" s="245"/>
      <c r="J126" s="245"/>
    </row>
    <row r="127" spans="1:10" ht="12.75">
      <c r="A127" s="235">
        <f>IF(ISNUMBER('Data Entry'!$Q111),'Data Entry'!A111,"")</f>
      </c>
      <c r="B127" s="234">
        <f>IF(ISNUMBER('Data Entry'!$Q111),IF($B$3='Data Entry'!$B$8,'Data Entry'!L111,IF(AND($B$3=0,'Data Entry'!$B$8=1),'Data Entry'!L111/'Data Entry'!$B$9,IF(AND($B$3=1,'Data Entry'!$B$8=0),'Data Entry'!L111*'Data Entry'!$B$9,"Conversion Error"))),"")</f>
      </c>
      <c r="C127" s="234">
        <f>IF(ISNUMBER('Data Entry'!$Q111),IF(ISNUMBER('Data Entry'!$M111),'Data Entry'!$M111,IF(ISNUMBER('Data Entry'!$N111),'Data Entry'!$N111,"Error")),"")</f>
      </c>
      <c r="D127" s="236">
        <f>IF(('Data Entry'!$Q111=""),"",IF(($B$3='Data Entry'!$B$8),($B127*COS(((360-$B$6)-$C127+90)*PI()/180)),IF(AND($B$3=0,'Data Entry'!$B$8=1),($B127*COS(((360-$B$6)-$C127+90)*PI()/180))/'Data Entry'!$B$9,IF(AND($B$3=1,'Data Entry'!$B$8=0),($B127*COS(((360-$B$6)-$C127+90)*PI()/180))*'Data Entry'!$B$9,"Conv. Error"))))</f>
      </c>
      <c r="E127" s="237">
        <f>IF(('Data Entry'!$Q111=""),"",IF(($B$3='Data Entry'!$B$8),($B127*SIN(((360-$B$6)-$C127+90)*PI()/180)),IF(AND($B$3=0,'Data Entry'!$B$8=1),($B127*SIN(((360-$B$6)-$C127+90)*PI()/180))/'Data Entry'!$B$9,IF(AND($B$3=1,'Data Entry'!$B$8=0),($B127*SIN(((360-$B$6)-$C127+90)*PI()/180))*'Data Entry'!$B$9,"Conv. Error"))))</f>
      </c>
      <c r="F127" s="234">
        <f t="shared" si="1"/>
      </c>
      <c r="G127" s="234">
        <f t="shared" si="1"/>
      </c>
      <c r="H127" s="258"/>
      <c r="I127" s="245"/>
      <c r="J127" s="245"/>
    </row>
    <row r="128" spans="1:10" ht="12.75">
      <c r="A128" s="235">
        <f>IF(ISNUMBER('Data Entry'!$Q112),'Data Entry'!A112,"")</f>
      </c>
      <c r="B128" s="234">
        <f>IF(ISNUMBER('Data Entry'!$Q112),IF($B$3='Data Entry'!$B$8,'Data Entry'!L112,IF(AND($B$3=0,'Data Entry'!$B$8=1),'Data Entry'!L112/'Data Entry'!$B$9,IF(AND($B$3=1,'Data Entry'!$B$8=0),'Data Entry'!L112*'Data Entry'!$B$9,"Conversion Error"))),"")</f>
      </c>
      <c r="C128" s="234">
        <f>IF(ISNUMBER('Data Entry'!$Q112),IF(ISNUMBER('Data Entry'!$M112),'Data Entry'!$M112,IF(ISNUMBER('Data Entry'!$N112),'Data Entry'!$N112,"Error")),"")</f>
      </c>
      <c r="D128" s="236">
        <f>IF(('Data Entry'!$Q112=""),"",IF(($B$3='Data Entry'!$B$8),($B128*COS(((360-$B$6)-$C128+90)*PI()/180)),IF(AND($B$3=0,'Data Entry'!$B$8=1),($B128*COS(((360-$B$6)-$C128+90)*PI()/180))/'Data Entry'!$B$9,IF(AND($B$3=1,'Data Entry'!$B$8=0),($B128*COS(((360-$B$6)-$C128+90)*PI()/180))*'Data Entry'!$B$9,"Conv. Error"))))</f>
      </c>
      <c r="E128" s="237">
        <f>IF(('Data Entry'!$Q112=""),"",IF(($B$3='Data Entry'!$B$8),($B128*SIN(((360-$B$6)-$C128+90)*PI()/180)),IF(AND($B$3=0,'Data Entry'!$B$8=1),($B128*SIN(((360-$B$6)-$C128+90)*PI()/180))/'Data Entry'!$B$9,IF(AND($B$3=1,'Data Entry'!$B$8=0),($B128*SIN(((360-$B$6)-$C128+90)*PI()/180))*'Data Entry'!$B$9,"Conv. Error"))))</f>
      </c>
      <c r="F128" s="234">
        <f t="shared" si="1"/>
      </c>
      <c r="G128" s="234">
        <f t="shared" si="1"/>
      </c>
      <c r="H128" s="258"/>
      <c r="I128" s="245"/>
      <c r="J128" s="245"/>
    </row>
    <row r="129" spans="1:10" ht="12.75">
      <c r="A129" s="235">
        <f>IF(ISNUMBER('Data Entry'!$Q113),'Data Entry'!A113,"")</f>
      </c>
      <c r="B129" s="234">
        <f>IF(ISNUMBER('Data Entry'!$Q113),IF($B$3='Data Entry'!$B$8,'Data Entry'!L113,IF(AND($B$3=0,'Data Entry'!$B$8=1),'Data Entry'!L113/'Data Entry'!$B$9,IF(AND($B$3=1,'Data Entry'!$B$8=0),'Data Entry'!L113*'Data Entry'!$B$9,"Conversion Error"))),"")</f>
      </c>
      <c r="C129" s="234">
        <f>IF(ISNUMBER('Data Entry'!$Q113),IF(ISNUMBER('Data Entry'!$M113),'Data Entry'!$M113,IF(ISNUMBER('Data Entry'!$N113),'Data Entry'!$N113,"Error")),"")</f>
      </c>
      <c r="D129" s="236">
        <f>IF(('Data Entry'!$Q113=""),"",IF(($B$3='Data Entry'!$B$8),($B129*COS(((360-$B$6)-$C129+90)*PI()/180)),IF(AND($B$3=0,'Data Entry'!$B$8=1),($B129*COS(((360-$B$6)-$C129+90)*PI()/180))/'Data Entry'!$B$9,IF(AND($B$3=1,'Data Entry'!$B$8=0),($B129*COS(((360-$B$6)-$C129+90)*PI()/180))*'Data Entry'!$B$9,"Conv. Error"))))</f>
      </c>
      <c r="E129" s="237">
        <f>IF(('Data Entry'!$Q113=""),"",IF(($B$3='Data Entry'!$B$8),($B129*SIN(((360-$B$6)-$C129+90)*PI()/180)),IF(AND($B$3=0,'Data Entry'!$B$8=1),($B129*SIN(((360-$B$6)-$C129+90)*PI()/180))/'Data Entry'!$B$9,IF(AND($B$3=1,'Data Entry'!$B$8=0),($B129*SIN(((360-$B$6)-$C129+90)*PI()/180))*'Data Entry'!$B$9,"Conv. Error"))))</f>
      </c>
      <c r="F129" s="234">
        <f t="shared" si="1"/>
      </c>
      <c r="G129" s="234">
        <f t="shared" si="1"/>
      </c>
      <c r="H129" s="258"/>
      <c r="I129" s="245"/>
      <c r="J129" s="245"/>
    </row>
    <row r="130" spans="1:10" ht="12.75">
      <c r="A130" s="235">
        <f>IF(ISNUMBER('Data Entry'!$Q114),'Data Entry'!A114,"")</f>
      </c>
      <c r="B130" s="234">
        <f>IF(ISNUMBER('Data Entry'!$Q114),IF($B$3='Data Entry'!$B$8,'Data Entry'!L114,IF(AND($B$3=0,'Data Entry'!$B$8=1),'Data Entry'!L114/'Data Entry'!$B$9,IF(AND($B$3=1,'Data Entry'!$B$8=0),'Data Entry'!L114*'Data Entry'!$B$9,"Conversion Error"))),"")</f>
      </c>
      <c r="C130" s="234">
        <f>IF(ISNUMBER('Data Entry'!$Q114),IF(ISNUMBER('Data Entry'!$M114),'Data Entry'!$M114,IF(ISNUMBER('Data Entry'!$N114),'Data Entry'!$N114,"Error")),"")</f>
      </c>
      <c r="D130" s="236">
        <f>IF(('Data Entry'!$Q114=""),"",IF(($B$3='Data Entry'!$B$8),($B130*COS(((360-$B$6)-$C130+90)*PI()/180)),IF(AND($B$3=0,'Data Entry'!$B$8=1),($B130*COS(((360-$B$6)-$C130+90)*PI()/180))/'Data Entry'!$B$9,IF(AND($B$3=1,'Data Entry'!$B$8=0),($B130*COS(((360-$B$6)-$C130+90)*PI()/180))*'Data Entry'!$B$9,"Conv. Error"))))</f>
      </c>
      <c r="E130" s="237">
        <f>IF(('Data Entry'!$Q114=""),"",IF(($B$3='Data Entry'!$B$8),($B130*SIN(((360-$B$6)-$C130+90)*PI()/180)),IF(AND($B$3=0,'Data Entry'!$B$8=1),($B130*SIN(((360-$B$6)-$C130+90)*PI()/180))/'Data Entry'!$B$9,IF(AND($B$3=1,'Data Entry'!$B$8=0),($B130*SIN(((360-$B$6)-$C130+90)*PI()/180))*'Data Entry'!$B$9,"Conv. Error"))))</f>
      </c>
      <c r="F130" s="234">
        <f t="shared" si="1"/>
      </c>
      <c r="G130" s="234">
        <f t="shared" si="1"/>
      </c>
      <c r="H130" s="258"/>
      <c r="I130" s="245"/>
      <c r="J130" s="245"/>
    </row>
    <row r="131" spans="1:10" ht="12.75">
      <c r="A131" s="235">
        <f>IF(ISNUMBER('Data Entry'!$Q115),'Data Entry'!A115,"")</f>
      </c>
      <c r="B131" s="234">
        <f>IF(ISNUMBER('Data Entry'!$Q115),IF($B$3='Data Entry'!$B$8,'Data Entry'!L115,IF(AND($B$3=0,'Data Entry'!$B$8=1),'Data Entry'!L115/'Data Entry'!$B$9,IF(AND($B$3=1,'Data Entry'!$B$8=0),'Data Entry'!L115*'Data Entry'!$B$9,"Conversion Error"))),"")</f>
      </c>
      <c r="C131" s="234">
        <f>IF(ISNUMBER('Data Entry'!$Q115),IF(ISNUMBER('Data Entry'!$M115),'Data Entry'!$M115,IF(ISNUMBER('Data Entry'!$N115),'Data Entry'!$N115,"Error")),"")</f>
      </c>
      <c r="D131" s="236">
        <f>IF(('Data Entry'!$Q115=""),"",IF(($B$3='Data Entry'!$B$8),($B131*COS(((360-$B$6)-$C131+90)*PI()/180)),IF(AND($B$3=0,'Data Entry'!$B$8=1),($B131*COS(((360-$B$6)-$C131+90)*PI()/180))/'Data Entry'!$B$9,IF(AND($B$3=1,'Data Entry'!$B$8=0),($B131*COS(((360-$B$6)-$C131+90)*PI()/180))*'Data Entry'!$B$9,"Conv. Error"))))</f>
      </c>
      <c r="E131" s="237">
        <f>IF(('Data Entry'!$Q115=""),"",IF(($B$3='Data Entry'!$B$8),($B131*SIN(((360-$B$6)-$C131+90)*PI()/180)),IF(AND($B$3=0,'Data Entry'!$B$8=1),($B131*SIN(((360-$B$6)-$C131+90)*PI()/180))/'Data Entry'!$B$9,IF(AND($B$3=1,'Data Entry'!$B$8=0),($B131*SIN(((360-$B$6)-$C131+90)*PI()/180))*'Data Entry'!$B$9,"Conv. Error"))))</f>
      </c>
      <c r="F131" s="234">
        <f t="shared" si="1"/>
      </c>
      <c r="G131" s="234">
        <f t="shared" si="1"/>
      </c>
      <c r="H131" s="258"/>
      <c r="I131" s="245"/>
      <c r="J131" s="245"/>
    </row>
    <row r="132" spans="1:10" ht="13.5" thickBot="1">
      <c r="A132" s="235">
        <f>IF(ISNUMBER('Data Entry'!$Q116),'Data Entry'!A116,"")</f>
      </c>
      <c r="B132" s="234">
        <f>IF(ISNUMBER('Data Entry'!$Q116),IF($B$3='Data Entry'!$B$8,'Data Entry'!L116,IF(AND($B$3=0,'Data Entry'!$B$8=1),'Data Entry'!L116/'Data Entry'!$B$9,IF(AND($B$3=1,'Data Entry'!$B$8=0),'Data Entry'!L116*'Data Entry'!$B$9,"Conversion Error"))),"")</f>
      </c>
      <c r="C132" s="234">
        <f>IF(ISNUMBER('Data Entry'!$Q116),IF(ISNUMBER('Data Entry'!$M116),'Data Entry'!$M116,IF(ISNUMBER('Data Entry'!$N116),'Data Entry'!$N116,"Error")),"")</f>
      </c>
      <c r="D132" s="238">
        <f>IF(('Data Entry'!$Q116=""),"",IF(($B$3='Data Entry'!$B$8),($B132*COS(((360-$B$6)-$C132+90)*PI()/180)),IF(AND($B$3=0,'Data Entry'!$B$8=1),($B132*COS(((360-$B$6)-$C132+90)*PI()/180))/'Data Entry'!$B$9,IF(AND($B$3=1,'Data Entry'!$B$8=0),($B132*COS(((360-$B$6)-$C132+90)*PI()/180))*'Data Entry'!$B$9,"Conv. Error"))))</f>
      </c>
      <c r="E132" s="239">
        <f>IF(('Data Entry'!$Q116=""),"",IF(($B$3='Data Entry'!$B$8),($B132*SIN(((360-$B$6)-$C132+90)*PI()/180)),IF(AND($B$3=0,'Data Entry'!$B$8=1),($B132*SIN(((360-$B$6)-$C132+90)*PI()/180))/'Data Entry'!$B$9,IF(AND($B$3=1,'Data Entry'!$B$8=0),($B132*SIN(((360-$B$6)-$C132+90)*PI()/180))*'Data Entry'!$B$9,"Conv. Error"))))</f>
      </c>
      <c r="F132" s="234">
        <f t="shared" si="1"/>
      </c>
      <c r="G132" s="234">
        <f t="shared" si="1"/>
      </c>
      <c r="H132" s="258"/>
      <c r="I132" s="245"/>
      <c r="J132" s="245"/>
    </row>
    <row r="133" spans="1:10" ht="13.5" thickTop="1">
      <c r="A133" s="99"/>
      <c r="B133" s="99"/>
      <c r="C133" s="99"/>
      <c r="D133" s="99"/>
      <c r="E133" s="100"/>
      <c r="F133" s="99"/>
      <c r="G133" s="99"/>
      <c r="H133" s="24"/>
      <c r="I133" s="33"/>
      <c r="J133" s="43"/>
    </row>
    <row r="134" spans="3:10" ht="12.75">
      <c r="C134" s="40"/>
      <c r="I134" s="33"/>
      <c r="J134" s="43"/>
    </row>
    <row r="135" spans="3:10" ht="12.75">
      <c r="C135" s="40"/>
      <c r="I135" s="33"/>
      <c r="J135" s="43"/>
    </row>
    <row r="136" spans="3:10" ht="12.75">
      <c r="C136" s="40"/>
      <c r="I136" s="33"/>
      <c r="J136" s="43"/>
    </row>
    <row r="137" spans="3:10" ht="12.75">
      <c r="C137" s="40"/>
      <c r="I137" s="33"/>
      <c r="J137" s="43"/>
    </row>
    <row r="138" spans="3:10" ht="12.75">
      <c r="C138" s="40"/>
      <c r="I138" s="33"/>
      <c r="J138" s="43"/>
    </row>
    <row r="139" spans="3:10" ht="12.75">
      <c r="C139" s="40"/>
      <c r="I139" s="33"/>
      <c r="J139" s="43"/>
    </row>
    <row r="140" spans="3:10" ht="12.75">
      <c r="C140" s="40"/>
      <c r="I140" s="33"/>
      <c r="J140" s="43"/>
    </row>
    <row r="141" spans="3:10" ht="12.75">
      <c r="C141" s="40"/>
      <c r="I141" s="33"/>
      <c r="J141" s="43"/>
    </row>
    <row r="142" spans="3:10" ht="12.75">
      <c r="C142" s="40"/>
      <c r="I142" s="33"/>
      <c r="J142" s="43"/>
    </row>
    <row r="143" spans="3:10" ht="12.75">
      <c r="C143" s="40"/>
      <c r="I143" s="33"/>
      <c r="J143" s="43"/>
    </row>
    <row r="144" spans="3:10" ht="12.75">
      <c r="C144" s="40"/>
      <c r="I144" s="33"/>
      <c r="J144" s="43"/>
    </row>
    <row r="145" spans="3:10" ht="12.75">
      <c r="C145" s="40"/>
      <c r="I145" s="33"/>
      <c r="J145" s="43"/>
    </row>
    <row r="146" spans="3:10" ht="12.75">
      <c r="C146" s="40"/>
      <c r="I146" s="33"/>
      <c r="J146" s="43"/>
    </row>
    <row r="147" spans="3:10" ht="12.75">
      <c r="C147" s="40"/>
      <c r="I147" s="33"/>
      <c r="J147" s="43"/>
    </row>
    <row r="148" spans="3:10" ht="12.75">
      <c r="C148" s="40"/>
      <c r="I148" s="33"/>
      <c r="J148" s="43"/>
    </row>
    <row r="149" spans="3:10" ht="12.75">
      <c r="C149" s="40"/>
      <c r="I149" s="33"/>
      <c r="J149" s="43"/>
    </row>
    <row r="150" spans="3:10" ht="12.75">
      <c r="C150" s="40"/>
      <c r="I150" s="33"/>
      <c r="J150" s="43"/>
    </row>
    <row r="151" spans="3:10" ht="12.75">
      <c r="C151" s="40"/>
      <c r="I151" s="33"/>
      <c r="J151" s="43"/>
    </row>
    <row r="152" spans="3:10" ht="12.75">
      <c r="C152" s="40"/>
      <c r="I152" s="33"/>
      <c r="J152" s="43"/>
    </row>
    <row r="153" spans="3:10" ht="12.75">
      <c r="C153" s="40"/>
      <c r="I153" s="33"/>
      <c r="J153" s="43"/>
    </row>
    <row r="154" spans="3:10" ht="12.75">
      <c r="C154" s="40"/>
      <c r="I154" s="33"/>
      <c r="J154" s="43"/>
    </row>
    <row r="155" spans="3:10" ht="12.75">
      <c r="C155" s="40"/>
      <c r="I155" s="33"/>
      <c r="J155" s="43"/>
    </row>
    <row r="156" spans="3:10" ht="12.75">
      <c r="C156" s="40"/>
      <c r="I156" s="33"/>
      <c r="J156" s="43"/>
    </row>
    <row r="157" spans="3:10" ht="12.75">
      <c r="C157" s="40"/>
      <c r="I157" s="33"/>
      <c r="J157" s="43"/>
    </row>
    <row r="158" spans="3:10" ht="12.75">
      <c r="C158" s="40"/>
      <c r="I158" s="33"/>
      <c r="J158" s="43"/>
    </row>
    <row r="159" spans="3:10" ht="12.75">
      <c r="C159" s="40"/>
      <c r="I159" s="33"/>
      <c r="J159" s="43"/>
    </row>
    <row r="160" spans="3:10" ht="12.75">
      <c r="C160" s="40"/>
      <c r="I160" s="33"/>
      <c r="J160" s="43"/>
    </row>
    <row r="161" spans="3:10" ht="12.75">
      <c r="C161" s="40"/>
      <c r="I161" s="33"/>
      <c r="J161" s="43"/>
    </row>
    <row r="162" spans="3:10" ht="12.75">
      <c r="C162" s="40"/>
      <c r="I162" s="33"/>
      <c r="J162" s="43"/>
    </row>
    <row r="163" spans="3:10" ht="12.75">
      <c r="C163" s="40"/>
      <c r="I163" s="33"/>
      <c r="J163" s="43"/>
    </row>
    <row r="164" spans="3:10" ht="12.75">
      <c r="C164" s="40"/>
      <c r="I164" s="33"/>
      <c r="J164" s="43"/>
    </row>
    <row r="165" spans="3:10" ht="12.75">
      <c r="C165" s="40"/>
      <c r="I165" s="33"/>
      <c r="J165" s="43"/>
    </row>
    <row r="166" spans="3:10" ht="12.75">
      <c r="C166" s="40"/>
      <c r="I166" s="33"/>
      <c r="J166" s="43"/>
    </row>
    <row r="167" spans="3:10" ht="12.75">
      <c r="C167" s="40"/>
      <c r="I167" s="33"/>
      <c r="J167" s="43"/>
    </row>
    <row r="168" spans="3:10" ht="12.75">
      <c r="C168" s="40"/>
      <c r="I168" s="33"/>
      <c r="J168" s="43"/>
    </row>
    <row r="169" spans="3:10" ht="12.75">
      <c r="C169" s="40"/>
      <c r="I169" s="33"/>
      <c r="J169" s="43"/>
    </row>
    <row r="170" spans="3:10" ht="12.75">
      <c r="C170" s="40"/>
      <c r="I170" s="33"/>
      <c r="J170" s="43"/>
    </row>
    <row r="171" spans="3:10" ht="12.75">
      <c r="C171" s="40"/>
      <c r="I171" s="33"/>
      <c r="J171" s="43"/>
    </row>
    <row r="172" spans="3:10" ht="12.75">
      <c r="C172" s="40"/>
      <c r="I172" s="33"/>
      <c r="J172" s="43"/>
    </row>
    <row r="173" spans="3:10" ht="12.75">
      <c r="C173" s="40"/>
      <c r="I173" s="33"/>
      <c r="J173" s="43"/>
    </row>
    <row r="174" spans="3:10" ht="12.75">
      <c r="C174" s="40"/>
      <c r="I174" s="33"/>
      <c r="J174" s="43"/>
    </row>
    <row r="175" spans="3:10" ht="12.75">
      <c r="C175" s="40"/>
      <c r="I175" s="33"/>
      <c r="J175" s="43"/>
    </row>
    <row r="176" spans="3:10" ht="12.75">
      <c r="C176" s="40"/>
      <c r="I176" s="33"/>
      <c r="J176" s="43"/>
    </row>
    <row r="177" spans="3:10" ht="12.75">
      <c r="C177" s="40"/>
      <c r="I177" s="33"/>
      <c r="J177" s="43"/>
    </row>
    <row r="178" spans="3:10" ht="12.75">
      <c r="C178" s="40"/>
      <c r="I178" s="33"/>
      <c r="J178" s="43"/>
    </row>
    <row r="179" spans="3:10" ht="12.75">
      <c r="C179" s="40"/>
      <c r="I179" s="33"/>
      <c r="J179" s="43"/>
    </row>
    <row r="180" spans="3:10" ht="12.75">
      <c r="C180" s="40"/>
      <c r="I180" s="33"/>
      <c r="J180" s="43"/>
    </row>
    <row r="181" spans="3:10" ht="12.75">
      <c r="C181" s="40"/>
      <c r="I181" s="33"/>
      <c r="J181" s="43"/>
    </row>
    <row r="182" spans="3:10" ht="12.75">
      <c r="C182" s="40"/>
      <c r="I182" s="33"/>
      <c r="J182" s="43"/>
    </row>
    <row r="183" spans="3:10" ht="12.75">
      <c r="C183" s="40"/>
      <c r="I183" s="33"/>
      <c r="J183" s="43"/>
    </row>
    <row r="184" spans="3:10" ht="12.75">
      <c r="C184" s="40"/>
      <c r="I184" s="33"/>
      <c r="J184" s="43"/>
    </row>
    <row r="185" spans="3:10" ht="12.75">
      <c r="C185" s="40"/>
      <c r="I185" s="33"/>
      <c r="J185" s="43"/>
    </row>
    <row r="186" spans="3:10" ht="12.75">
      <c r="C186" s="40"/>
      <c r="I186" s="33"/>
      <c r="J186" s="43"/>
    </row>
    <row r="187" spans="3:10" ht="12.75">
      <c r="C187" s="40"/>
      <c r="I187" s="33"/>
      <c r="J187" s="43"/>
    </row>
    <row r="188" spans="3:10" ht="12.75">
      <c r="C188" s="40"/>
      <c r="I188" s="33"/>
      <c r="J188" s="43"/>
    </row>
    <row r="189" spans="3:10" ht="12.75">
      <c r="C189" s="40"/>
      <c r="I189" s="33"/>
      <c r="J189" s="43"/>
    </row>
    <row r="190" spans="3:10" ht="12.75">
      <c r="C190" s="40"/>
      <c r="I190" s="33"/>
      <c r="J190" s="43"/>
    </row>
    <row r="191" spans="3:10" ht="12.75">
      <c r="C191" s="40"/>
      <c r="I191" s="33"/>
      <c r="J191" s="43"/>
    </row>
    <row r="192" spans="3:10" ht="12.75">
      <c r="C192" s="40"/>
      <c r="I192" s="33"/>
      <c r="J192" s="43"/>
    </row>
    <row r="193" spans="3:10" ht="12.75">
      <c r="C193" s="40"/>
      <c r="I193" s="33"/>
      <c r="J193" s="43"/>
    </row>
    <row r="194" spans="3:10" ht="12.75">
      <c r="C194" s="40"/>
      <c r="I194" s="33"/>
      <c r="J194" s="43"/>
    </row>
    <row r="195" spans="3:10" ht="12.75">
      <c r="C195" s="40"/>
      <c r="I195" s="33"/>
      <c r="J195" s="43"/>
    </row>
    <row r="196" spans="3:10" ht="12.75">
      <c r="C196" s="40"/>
      <c r="I196" s="33"/>
      <c r="J196" s="43"/>
    </row>
    <row r="197" spans="3:10" ht="12.75">
      <c r="C197" s="40"/>
      <c r="I197" s="33"/>
      <c r="J197" s="43"/>
    </row>
    <row r="198" spans="3:10" ht="12.75">
      <c r="C198" s="40"/>
      <c r="I198" s="33"/>
      <c r="J198" s="43"/>
    </row>
    <row r="199" spans="3:10" ht="12.75">
      <c r="C199" s="40"/>
      <c r="I199" s="33"/>
      <c r="J199" s="43"/>
    </row>
    <row r="200" spans="9:10" ht="12.75">
      <c r="I200" s="33"/>
      <c r="J200" s="43"/>
    </row>
    <row r="201" spans="9:10" ht="12.75">
      <c r="I201" s="33"/>
      <c r="J201" s="43"/>
    </row>
    <row r="202" spans="9:10" ht="12.75">
      <c r="I202" s="33"/>
      <c r="J202" s="43"/>
    </row>
    <row r="203" spans="9:10" ht="12.75">
      <c r="I203" s="33"/>
      <c r="J203" s="43"/>
    </row>
    <row r="204" spans="9:10" ht="12.75">
      <c r="I204" s="33"/>
      <c r="J204" s="43"/>
    </row>
    <row r="205" spans="9:10" ht="12.75">
      <c r="I205" s="33"/>
      <c r="J205" s="43"/>
    </row>
    <row r="206" spans="9:10" ht="12.75">
      <c r="I206" s="33"/>
      <c r="J206" s="43"/>
    </row>
    <row r="207" spans="9:10" ht="12.75">
      <c r="I207" s="33"/>
      <c r="J207" s="43"/>
    </row>
    <row r="208" spans="9:10" ht="12.75">
      <c r="I208" s="33"/>
      <c r="J208" s="43"/>
    </row>
    <row r="209" spans="9:10" ht="12.75">
      <c r="I209" s="33"/>
      <c r="J209" s="43"/>
    </row>
    <row r="210" spans="9:10" ht="12.75">
      <c r="I210" s="33"/>
      <c r="J210" s="43"/>
    </row>
    <row r="211" spans="9:10" ht="12.75">
      <c r="I211" s="33"/>
      <c r="J211" s="43"/>
    </row>
    <row r="212" spans="9:10" ht="12.75">
      <c r="I212" s="33"/>
      <c r="J212" s="43"/>
    </row>
    <row r="213" spans="9:10" ht="12.75">
      <c r="I213" s="33"/>
      <c r="J213" s="43"/>
    </row>
    <row r="214" spans="9:10" ht="12.75">
      <c r="I214" s="33"/>
      <c r="J214" s="43"/>
    </row>
    <row r="215" spans="9:10" ht="12.75">
      <c r="I215" s="33"/>
      <c r="J215" s="43"/>
    </row>
    <row r="216" spans="9:10" ht="12.75">
      <c r="I216" s="33"/>
      <c r="J216" s="43"/>
    </row>
    <row r="217" spans="9:10" ht="12.75">
      <c r="I217" s="33"/>
      <c r="J217" s="43"/>
    </row>
    <row r="218" spans="9:10" ht="12.75">
      <c r="I218" s="33"/>
      <c r="J218" s="43"/>
    </row>
    <row r="219" spans="9:10" ht="12.75">
      <c r="I219" s="33"/>
      <c r="J219" s="43"/>
    </row>
    <row r="220" spans="9:10" ht="12.75">
      <c r="I220" s="33"/>
      <c r="J220" s="43"/>
    </row>
    <row r="221" spans="9:10" ht="12.75">
      <c r="I221" s="33"/>
      <c r="J221" s="43"/>
    </row>
    <row r="222" spans="9:10" ht="12.75">
      <c r="I222" s="33"/>
      <c r="J222" s="43"/>
    </row>
    <row r="223" spans="9:10" ht="12.75">
      <c r="I223" s="33"/>
      <c r="J223" s="43"/>
    </row>
    <row r="224" spans="9:10" ht="12.75">
      <c r="I224" s="33"/>
      <c r="J224" s="43"/>
    </row>
    <row r="225" spans="9:10" ht="12.75">
      <c r="I225" s="33"/>
      <c r="J225" s="43"/>
    </row>
    <row r="226" spans="9:10" ht="12.75">
      <c r="I226" s="33"/>
      <c r="J226" s="43"/>
    </row>
    <row r="227" spans="9:10" ht="12.75">
      <c r="I227" s="33"/>
      <c r="J227" s="43"/>
    </row>
    <row r="228" spans="9:10" ht="12.75">
      <c r="I228" s="33"/>
      <c r="J228" s="43"/>
    </row>
    <row r="229" spans="9:10" ht="12.75">
      <c r="I229" s="33"/>
      <c r="J229" s="43"/>
    </row>
    <row r="230" spans="9:10" ht="12.75">
      <c r="I230" s="33"/>
      <c r="J230" s="43"/>
    </row>
    <row r="231" spans="9:10" ht="12.75">
      <c r="I231" s="33"/>
      <c r="J231" s="43"/>
    </row>
    <row r="232" spans="9:10" ht="12.75">
      <c r="I232" s="33"/>
      <c r="J232" s="43"/>
    </row>
    <row r="233" spans="9:10" ht="12.75">
      <c r="I233" s="33"/>
      <c r="J233" s="43"/>
    </row>
    <row r="234" spans="9:10" ht="12.75">
      <c r="I234" s="33"/>
      <c r="J234" s="43"/>
    </row>
    <row r="235" spans="9:10" ht="12.75">
      <c r="I235" s="33"/>
      <c r="J235" s="43"/>
    </row>
    <row r="236" spans="9:10" ht="12.75">
      <c r="I236" s="33"/>
      <c r="J236" s="43"/>
    </row>
    <row r="237" spans="9:10" ht="12.75">
      <c r="I237" s="33"/>
      <c r="J237" s="43"/>
    </row>
    <row r="238" spans="9:10" ht="12.75">
      <c r="I238" s="33"/>
      <c r="J238" s="43"/>
    </row>
    <row r="239" spans="9:10" ht="12.75">
      <c r="I239" s="33"/>
      <c r="J239" s="43"/>
    </row>
    <row r="240" spans="9:10" ht="12.75">
      <c r="I240" s="33"/>
      <c r="J240" s="43"/>
    </row>
  </sheetData>
  <sheetProtection sheet="1" objects="1" scenarios="1"/>
  <mergeCells count="13">
    <mergeCell ref="I29:J30"/>
    <mergeCell ref="B30:B31"/>
    <mergeCell ref="C30:C31"/>
    <mergeCell ref="D30:D31"/>
    <mergeCell ref="E30:E31"/>
    <mergeCell ref="F30:G30"/>
    <mergeCell ref="A3:A4"/>
    <mergeCell ref="C3:D3"/>
    <mergeCell ref="C6:D6"/>
    <mergeCell ref="A29:A31"/>
    <mergeCell ref="B29:G29"/>
    <mergeCell ref="A16:A17"/>
    <mergeCell ref="A22:B22"/>
  </mergeCells>
  <printOptions/>
  <pageMargins left="0.75" right="0.75" top="1" bottom="1" header="0.5" footer="0.5"/>
  <pageSetup horizontalDpi="600" verticalDpi="600" orientation="portrait" scale="38" r:id="rId2"/>
  <colBreaks count="1" manualBreakCount="1">
    <brk id="10" max="65535" man="1"/>
  </colBreaks>
  <drawing r:id="rId1"/>
</worksheet>
</file>

<file path=xl/worksheets/sheet5.xml><?xml version="1.0" encoding="utf-8"?>
<worksheet xmlns="http://schemas.openxmlformats.org/spreadsheetml/2006/main" xmlns:r="http://schemas.openxmlformats.org/officeDocument/2006/relationships">
  <dimension ref="A1:K34"/>
  <sheetViews>
    <sheetView workbookViewId="0" topLeftCell="A1">
      <pane ySplit="1" topLeftCell="BM2" activePane="bottomLeft" state="frozen"/>
      <selection pane="topLeft" activeCell="A1" sqref="A1"/>
      <selection pane="bottomLeft" activeCell="B7" sqref="B7"/>
    </sheetView>
  </sheetViews>
  <sheetFormatPr defaultColWidth="9.140625" defaultRowHeight="12.75"/>
  <cols>
    <col min="1" max="1" width="5.7109375" style="0" customWidth="1"/>
    <col min="2" max="3" width="20.7109375" style="0" customWidth="1"/>
    <col min="4" max="4" width="5.7109375" style="155" customWidth="1"/>
    <col min="5" max="5" width="7.421875" style="0" customWidth="1"/>
    <col min="6" max="6" width="5.7109375" style="0" customWidth="1"/>
    <col min="7" max="7" width="20.7109375" style="0" customWidth="1"/>
    <col min="8" max="8" width="5.7109375" style="0" customWidth="1"/>
    <col min="9" max="10" width="20.7109375" style="0" customWidth="1"/>
    <col min="11" max="11" width="5.7109375" style="0" customWidth="1"/>
    <col min="12" max="12" width="6.00390625" style="0" customWidth="1"/>
    <col min="13" max="13" width="20.57421875" style="0" bestFit="1" customWidth="1"/>
    <col min="14" max="14" width="3.28125" style="0" customWidth="1"/>
    <col min="15" max="15" width="25.57421875" style="0" bestFit="1" customWidth="1"/>
    <col min="16" max="16" width="12.8515625" style="0" bestFit="1" customWidth="1"/>
    <col min="17" max="17" width="4.00390625" style="0" customWidth="1"/>
  </cols>
  <sheetData>
    <row r="1" ht="24" thickBot="1">
      <c r="A1" s="35" t="s">
        <v>145</v>
      </c>
    </row>
    <row r="2" spans="1:11" ht="15.75" customHeight="1" thickTop="1">
      <c r="A2" s="156"/>
      <c r="B2" s="157"/>
      <c r="C2" s="158"/>
      <c r="D2" s="159"/>
      <c r="F2" s="137"/>
      <c r="G2" s="144" t="s">
        <v>138</v>
      </c>
      <c r="H2" s="144"/>
      <c r="I2" s="408" t="s">
        <v>144</v>
      </c>
      <c r="J2" s="408"/>
      <c r="K2" s="145"/>
    </row>
    <row r="3" spans="1:11" ht="6.75" customHeight="1" thickBot="1">
      <c r="A3" s="127"/>
      <c r="B3" s="126"/>
      <c r="C3" s="128"/>
      <c r="D3" s="129"/>
      <c r="F3" s="138"/>
      <c r="G3" s="146"/>
      <c r="H3" s="146"/>
      <c r="I3" s="146"/>
      <c r="J3" s="146"/>
      <c r="K3" s="147"/>
    </row>
    <row r="4" spans="1:11" ht="13.5" thickTop="1">
      <c r="A4" s="127"/>
      <c r="B4" s="409" t="s">
        <v>52</v>
      </c>
      <c r="C4" s="410"/>
      <c r="D4" s="125"/>
      <c r="E4" s="12"/>
      <c r="F4" s="139"/>
      <c r="G4" s="28" t="s">
        <v>57</v>
      </c>
      <c r="H4" s="148"/>
      <c r="I4" s="409" t="s">
        <v>52</v>
      </c>
      <c r="J4" s="410"/>
      <c r="K4" s="151"/>
    </row>
    <row r="5" spans="1:11" ht="12.75">
      <c r="A5" s="127"/>
      <c r="B5" s="10" t="s">
        <v>50</v>
      </c>
      <c r="C5" s="11" t="s">
        <v>51</v>
      </c>
      <c r="D5" s="160"/>
      <c r="E5" s="73"/>
      <c r="F5" s="140"/>
      <c r="G5" s="27" t="s">
        <v>58</v>
      </c>
      <c r="H5" s="148"/>
      <c r="I5" s="10" t="s">
        <v>50</v>
      </c>
      <c r="J5" s="11" t="s">
        <v>51</v>
      </c>
      <c r="K5" s="151"/>
    </row>
    <row r="6" spans="1:11" ht="13.5" thickBot="1">
      <c r="A6" s="127"/>
      <c r="B6" s="167">
        <v>90.5</v>
      </c>
      <c r="C6" s="172" t="str">
        <f>IF(ISBLANK(B6),"&lt;--- Enter Azimuth",IF(AND(B6&gt;=0,B6&lt;=360),IF(AND(B6&gt;=0,B6&lt;90),"N"&amp;B6&amp;"E",IF(AND(B6&gt;=90,B6&lt;180),"S"&amp;(180-B6)&amp;"E",IF(AND(B6&gt;=180,B6&lt;270),"S"&amp;(B6-180)&amp;"W","N"&amp;(360-B6)&amp;"W"))),"Unable To Convert"))</f>
        <v>S89.5E</v>
      </c>
      <c r="D6" s="161"/>
      <c r="E6" s="74"/>
      <c r="F6" s="139"/>
      <c r="G6" s="29" t="s">
        <v>63</v>
      </c>
      <c r="H6" s="148"/>
      <c r="I6" s="68">
        <v>169.7078</v>
      </c>
      <c r="J6" s="9" t="s">
        <v>136</v>
      </c>
      <c r="K6" s="151"/>
    </row>
    <row r="7" spans="1:11" ht="14.25" thickBot="1" thickTop="1">
      <c r="A7" s="127"/>
      <c r="B7" s="126"/>
      <c r="C7" s="128"/>
      <c r="D7" s="129"/>
      <c r="F7" s="141"/>
      <c r="G7" s="149"/>
      <c r="H7" s="149"/>
      <c r="I7" s="149"/>
      <c r="J7" s="149"/>
      <c r="K7" s="152"/>
    </row>
    <row r="8" spans="1:11" ht="13.5" thickTop="1">
      <c r="A8" s="127"/>
      <c r="B8" s="409" t="s">
        <v>54</v>
      </c>
      <c r="C8" s="410"/>
      <c r="D8" s="125"/>
      <c r="E8" s="12"/>
      <c r="F8" s="139"/>
      <c r="G8" s="28" t="s">
        <v>59</v>
      </c>
      <c r="H8" s="148"/>
      <c r="I8" s="409" t="s">
        <v>54</v>
      </c>
      <c r="J8" s="410"/>
      <c r="K8" s="151"/>
    </row>
    <row r="9" spans="1:11" ht="12.75">
      <c r="A9" s="127"/>
      <c r="B9" s="10" t="s">
        <v>51</v>
      </c>
      <c r="C9" s="11" t="s">
        <v>50</v>
      </c>
      <c r="D9" s="160"/>
      <c r="E9" s="73"/>
      <c r="F9" s="139"/>
      <c r="G9" s="27" t="s">
        <v>60</v>
      </c>
      <c r="H9" s="148"/>
      <c r="I9" s="10" t="s">
        <v>51</v>
      </c>
      <c r="J9" s="11" t="s">
        <v>50</v>
      </c>
      <c r="K9" s="151"/>
    </row>
    <row r="10" spans="1:11" ht="13.5" thickBot="1">
      <c r="A10" s="127"/>
      <c r="B10" s="167"/>
      <c r="C10" s="172" t="str">
        <f>IF(ISBLANK(B10),"&lt;--- Enter Bearing",IF(AND(LEFT(B10,1)="N",RIGHT(B10,1)="E"),MID(B10,2,LEN(B10)-2),IF(AND(LEFT(B10,1)="S",RIGHT(B10,1)="E"),180-MID(B10,2,LEN(B10)-2),IF(AND(LEFT(B10,1)="S",RIGHT(B10,1)="W"),180+MID(B10,2,LEN(B10)-2),IF(AND(LEFT(B10,1)="N",RIGHT(B10,1)="W"),360-MID(B10,2,LEN(B10)-2),"Unable To Convert")))))</f>
        <v>&lt;--- Enter Bearing</v>
      </c>
      <c r="D10" s="161"/>
      <c r="E10" s="74"/>
      <c r="F10" s="139"/>
      <c r="G10" s="110"/>
      <c r="H10" s="148"/>
      <c r="I10" s="68" t="s">
        <v>71</v>
      </c>
      <c r="J10" s="9">
        <v>169.7078</v>
      </c>
      <c r="K10" s="151"/>
    </row>
    <row r="11" spans="1:11" ht="14.25" thickBot="1" thickTop="1">
      <c r="A11" s="127"/>
      <c r="B11" s="126"/>
      <c r="C11" s="128"/>
      <c r="D11" s="129"/>
      <c r="F11" s="141"/>
      <c r="G11" s="149"/>
      <c r="H11" s="149"/>
      <c r="I11" s="149"/>
      <c r="J11" s="149"/>
      <c r="K11" s="152"/>
    </row>
    <row r="12" spans="1:11" ht="13.5" thickTop="1">
      <c r="A12" s="127"/>
      <c r="B12" s="409" t="s">
        <v>65</v>
      </c>
      <c r="C12" s="410"/>
      <c r="D12" s="125"/>
      <c r="E12" s="12"/>
      <c r="F12" s="139"/>
      <c r="G12" s="28" t="s">
        <v>69</v>
      </c>
      <c r="H12" s="148"/>
      <c r="I12" s="409" t="s">
        <v>65</v>
      </c>
      <c r="J12" s="410"/>
      <c r="K12" s="151"/>
    </row>
    <row r="13" spans="1:11" ht="12.75">
      <c r="A13" s="127"/>
      <c r="B13" s="10" t="s">
        <v>70</v>
      </c>
      <c r="C13" s="11" t="s">
        <v>55</v>
      </c>
      <c r="D13" s="160"/>
      <c r="E13" s="73"/>
      <c r="F13" s="139"/>
      <c r="G13" s="27" t="s">
        <v>67</v>
      </c>
      <c r="H13" s="148"/>
      <c r="I13" s="10" t="s">
        <v>70</v>
      </c>
      <c r="J13" s="11" t="s">
        <v>55</v>
      </c>
      <c r="K13" s="151"/>
    </row>
    <row r="14" spans="1:11" ht="13.5" thickBot="1">
      <c r="A14" s="127"/>
      <c r="B14" s="168"/>
      <c r="C14" s="173" t="str">
        <f>IF(ISBLANK(B14),"&lt;--- Enter D.M.S.s",IF(AND(ISNUMBER(B14),ISERROR(SEARCH(".",B14))),B14,IF(ISERROR(SEARCH(".",B14,(SEARCH(".",B14)+1))),((INT(B14)*60+MOD(B14,INT(B14))*100)/60),((MID(B14,1,SEARCH(".",B14)-1)*3600+MID(B14,SEARCH(".",B14)+1,SEARCH(".",B14,SEARCH(".",B14)+1)-(SEARCH(".",B14)+1))*60+MID(B14,(SEARCH(".",B14,SEARCH(".",B14)+1)+1),LEN(B14)))/3600))))</f>
        <v>&lt;--- Enter D.M.S.s</v>
      </c>
      <c r="D14" s="162"/>
      <c r="E14" s="77"/>
      <c r="F14" s="139"/>
      <c r="G14" s="29" t="s">
        <v>68</v>
      </c>
      <c r="H14" s="148"/>
      <c r="I14" s="69" t="s">
        <v>102</v>
      </c>
      <c r="J14" s="32">
        <v>19.707797222222226</v>
      </c>
      <c r="K14" s="151"/>
    </row>
    <row r="15" spans="1:11" ht="14.25" thickBot="1" thickTop="1">
      <c r="A15" s="127"/>
      <c r="B15" s="126"/>
      <c r="C15" s="128"/>
      <c r="D15" s="129"/>
      <c r="F15" s="141"/>
      <c r="G15" s="149"/>
      <c r="H15" s="149"/>
      <c r="I15" s="149"/>
      <c r="J15" s="149"/>
      <c r="K15" s="152"/>
    </row>
    <row r="16" spans="1:11" ht="13.5" thickTop="1">
      <c r="A16" s="127"/>
      <c r="B16" s="409" t="s">
        <v>66</v>
      </c>
      <c r="C16" s="410"/>
      <c r="D16" s="125"/>
      <c r="E16" s="12"/>
      <c r="F16" s="139"/>
      <c r="G16" s="28" t="s">
        <v>61</v>
      </c>
      <c r="H16" s="148"/>
      <c r="I16" s="409" t="s">
        <v>66</v>
      </c>
      <c r="J16" s="410"/>
      <c r="K16" s="151"/>
    </row>
    <row r="17" spans="1:11" ht="12.75">
      <c r="A17" s="127"/>
      <c r="B17" s="10" t="s">
        <v>55</v>
      </c>
      <c r="C17" s="11" t="s">
        <v>56</v>
      </c>
      <c r="D17" s="160"/>
      <c r="E17" s="73"/>
      <c r="F17" s="139"/>
      <c r="G17" s="27" t="s">
        <v>62</v>
      </c>
      <c r="H17" s="148"/>
      <c r="I17" s="10" t="s">
        <v>55</v>
      </c>
      <c r="J17" s="11" t="s">
        <v>56</v>
      </c>
      <c r="K17" s="151"/>
    </row>
    <row r="18" spans="1:11" ht="13.5" thickBot="1">
      <c r="A18" s="127"/>
      <c r="B18" s="169"/>
      <c r="C18" s="174" t="str">
        <f>IF(ISBLANK(B18),"&lt;--- Enter Degrees",IF(AND(AND(ISNUMBER(B18),B18&gt;=0),B18&lt;=360),INT(B18)&amp;"  "&amp;INT((B18-INT(B18))*60)&amp;"'  "&amp;INT((((B18-INT(B18))*60)-INT((B18-INT(B18))*60))*60*100)/100&amp;"""","0&lt;Degrees&lt;360"))</f>
        <v>&lt;--- Enter Degrees</v>
      </c>
      <c r="D18" s="163"/>
      <c r="E18" s="39"/>
      <c r="F18" s="139"/>
      <c r="G18" s="29" t="s">
        <v>64</v>
      </c>
      <c r="H18" s="148"/>
      <c r="I18" s="68">
        <v>19.7078</v>
      </c>
      <c r="J18" s="22" t="s">
        <v>137</v>
      </c>
      <c r="K18" s="151"/>
    </row>
    <row r="19" spans="1:11" ht="14.25" thickBot="1" thickTop="1">
      <c r="A19" s="127"/>
      <c r="B19" s="128"/>
      <c r="C19" s="128"/>
      <c r="D19" s="129"/>
      <c r="F19" s="141"/>
      <c r="G19" s="149"/>
      <c r="H19" s="149"/>
      <c r="I19" s="149"/>
      <c r="J19" s="149"/>
      <c r="K19" s="152"/>
    </row>
    <row r="20" spans="1:11" ht="34.5" customHeight="1" thickTop="1">
      <c r="A20" s="127"/>
      <c r="B20" s="404" t="s">
        <v>139</v>
      </c>
      <c r="C20" s="405"/>
      <c r="D20" s="130"/>
      <c r="F20" s="142"/>
      <c r="G20" s="136"/>
      <c r="H20" s="136"/>
      <c r="I20" s="404" t="s">
        <v>139</v>
      </c>
      <c r="J20" s="405"/>
      <c r="K20" s="153"/>
    </row>
    <row r="21" spans="1:11" ht="3.75" customHeight="1">
      <c r="A21" s="127"/>
      <c r="B21" s="411"/>
      <c r="C21" s="412"/>
      <c r="D21" s="130"/>
      <c r="F21" s="142"/>
      <c r="G21" s="136"/>
      <c r="H21" s="136"/>
      <c r="I21" s="117"/>
      <c r="J21" s="118"/>
      <c r="K21" s="153"/>
    </row>
    <row r="22" spans="1:11" ht="12.75">
      <c r="A22" s="127"/>
      <c r="B22" s="406" t="s">
        <v>146</v>
      </c>
      <c r="C22" s="407"/>
      <c r="D22" s="164"/>
      <c r="F22" s="142"/>
      <c r="G22" s="136"/>
      <c r="H22" s="136"/>
      <c r="I22" s="406" t="s">
        <v>146</v>
      </c>
      <c r="J22" s="407"/>
      <c r="K22" s="153"/>
    </row>
    <row r="23" spans="1:11" ht="12.75">
      <c r="A23" s="127"/>
      <c r="B23" s="114" t="s">
        <v>98</v>
      </c>
      <c r="C23" s="115" t="s">
        <v>99</v>
      </c>
      <c r="D23" s="165"/>
      <c r="F23" s="142"/>
      <c r="G23" s="136"/>
      <c r="H23" s="136"/>
      <c r="I23" s="114" t="s">
        <v>98</v>
      </c>
      <c r="J23" s="115" t="s">
        <v>99</v>
      </c>
      <c r="K23" s="153"/>
    </row>
    <row r="24" spans="1:11" ht="12.75">
      <c r="A24" s="127"/>
      <c r="B24" s="170"/>
      <c r="C24" s="171"/>
      <c r="D24" s="166"/>
      <c r="F24" s="142"/>
      <c r="G24" s="136"/>
      <c r="H24" s="136"/>
      <c r="I24" s="119">
        <v>1024.236</v>
      </c>
      <c r="J24" s="120">
        <v>2045.34</v>
      </c>
      <c r="K24" s="153"/>
    </row>
    <row r="25" spans="1:11" ht="3.75" customHeight="1">
      <c r="A25" s="127"/>
      <c r="B25" s="413"/>
      <c r="C25" s="414"/>
      <c r="D25" s="131"/>
      <c r="F25" s="142"/>
      <c r="G25" s="136"/>
      <c r="H25" s="136"/>
      <c r="I25" s="112"/>
      <c r="J25" s="113"/>
      <c r="K25" s="153"/>
    </row>
    <row r="26" spans="1:11" ht="12.75">
      <c r="A26" s="127"/>
      <c r="B26" s="406" t="s">
        <v>147</v>
      </c>
      <c r="C26" s="407"/>
      <c r="D26" s="164"/>
      <c r="F26" s="142"/>
      <c r="G26" s="136"/>
      <c r="H26" s="136"/>
      <c r="I26" s="406" t="s">
        <v>147</v>
      </c>
      <c r="J26" s="407"/>
      <c r="K26" s="153"/>
    </row>
    <row r="27" spans="1:11" ht="12.75">
      <c r="A27" s="127"/>
      <c r="B27" s="116" t="s">
        <v>98</v>
      </c>
      <c r="C27" s="115" t="s">
        <v>99</v>
      </c>
      <c r="D27" s="165"/>
      <c r="F27" s="142"/>
      <c r="G27" s="136"/>
      <c r="H27" s="136"/>
      <c r="I27" s="116" t="s">
        <v>98</v>
      </c>
      <c r="J27" s="115" t="s">
        <v>99</v>
      </c>
      <c r="K27" s="153"/>
    </row>
    <row r="28" spans="1:11" ht="12.75">
      <c r="A28" s="127"/>
      <c r="B28" s="170"/>
      <c r="C28" s="171"/>
      <c r="D28" s="166"/>
      <c r="F28" s="142"/>
      <c r="G28" s="136"/>
      <c r="H28" s="136"/>
      <c r="I28" s="119">
        <v>234.102</v>
      </c>
      <c r="J28" s="120">
        <v>-300.931</v>
      </c>
      <c r="K28" s="153"/>
    </row>
    <row r="29" spans="1:11" ht="3.75" customHeight="1">
      <c r="A29" s="127"/>
      <c r="B29" s="413"/>
      <c r="C29" s="414"/>
      <c r="D29" s="131"/>
      <c r="F29" s="142"/>
      <c r="G29" s="136"/>
      <c r="H29" s="136"/>
      <c r="I29" s="112"/>
      <c r="J29" s="113"/>
      <c r="K29" s="153"/>
    </row>
    <row r="30" spans="1:11" ht="12.75">
      <c r="A30" s="127"/>
      <c r="B30" s="121" t="s">
        <v>140</v>
      </c>
      <c r="C30" s="175" t="str">
        <f>IF(OR(COUNTBLANK(B28:C28)&gt;0,COUNTBLANK(B24:C24)&gt;0),"Enter X,Y Coordinate",IF(ISERROR(SQRT((C28-C24)^2+(B28-B24)^2)),"Calculation Error",SQRT((C28-C24)^2+(B28-B24)^2)))</f>
        <v>Enter X,Y Coordinate</v>
      </c>
      <c r="D30" s="132"/>
      <c r="F30" s="142"/>
      <c r="G30" s="136"/>
      <c r="H30" s="136"/>
      <c r="I30" s="121" t="s">
        <v>140</v>
      </c>
      <c r="J30" s="123">
        <v>2475.742180316238</v>
      </c>
      <c r="K30" s="153"/>
    </row>
    <row r="31" spans="1:11" ht="12.75">
      <c r="A31" s="127"/>
      <c r="B31" s="121" t="s">
        <v>142</v>
      </c>
      <c r="C31" s="175" t="str">
        <f>IF(AND(C30&lt;&gt;0,ISNUMBER(C30)),IF(OR(AND((B28-B24)&gt;0,(C28-C24)&gt;0),AND((B28-B24)&gt;0,(C28-C24)&lt;0)),(90-ATAN((C28-C24)/(B28-B24))*180/PI())-(360*(INT((90-ATAN((C28-C24)/(B28-B24))*180/PI())/360))),(IF(OR(AND((B28-B24)&lt;0,(C28-C24)&gt;0),AND((B28-B24)&lt;0,(C28-C24)&lt;0)),(180-ATAN((C28-C24)/(B28-B24))*180/PI()+90)-(360*(INT((180-ATAN((C28-C24)/(B28-B24))*180/PI()+90)/360))),IF((B28-B24)=0,90-90*SIGN((C28-C24)),IF((C28-C24)=0,180-90*SIGN((B28-B24)),"Calculation Error"))))),IF(C30="Enter X,Y Coordinate","Pair Data In The Yellow","N/A"))</f>
        <v>Pair Data In The Yellow</v>
      </c>
      <c r="D31" s="132"/>
      <c r="F31" s="142"/>
      <c r="G31" s="136"/>
      <c r="H31" s="136"/>
      <c r="I31" s="121" t="s">
        <v>142</v>
      </c>
      <c r="J31" s="123">
        <v>198.61154984947166</v>
      </c>
      <c r="K31" s="153"/>
    </row>
    <row r="32" spans="1:11" ht="12.75">
      <c r="A32" s="127"/>
      <c r="B32" s="121" t="s">
        <v>143</v>
      </c>
      <c r="C32" s="175" t="str">
        <f>IF(ISNUMBER(C31),INT(C31)&amp;"  "&amp;INT((C31-INT(C31))*60)&amp;"'  "&amp;INT((((C31-INT(C31))*60)-INT((C31-INT(C31))*60))*60*100)/100&amp;"""",IF(C31="N/A","N/A","Shaded Cells Above"))</f>
        <v>Shaded Cells Above</v>
      </c>
      <c r="D32" s="132"/>
      <c r="F32" s="142"/>
      <c r="G32" s="136"/>
      <c r="H32" s="136"/>
      <c r="I32" s="121" t="s">
        <v>143</v>
      </c>
      <c r="J32" s="123" t="s">
        <v>162</v>
      </c>
      <c r="K32" s="153"/>
    </row>
    <row r="33" spans="1:11" ht="13.5" thickBot="1">
      <c r="A33" s="127"/>
      <c r="B33" s="122" t="s">
        <v>141</v>
      </c>
      <c r="C33" s="176">
        <f>IF(ISNUMBER(C31),IF(AND(C31&gt;=0,C31&lt;=360),IF(AND(C31&gt;=0,C31&lt;90),"N "&amp;(INT(C31*10000)/10000)&amp;" E",IF(AND(C31&gt;=90,C31&lt;180),"S "&amp;(INT((180-C31)*10000)/10000)&amp;" E",IF(AND(C31&gt;=180,C31&lt;270),"S "&amp;(INT((C31-180)*10000)/10000)&amp;" W","N "&amp;(INT((360-C31)*10000)/10000)&amp;" W"))),"Conversion Error"),IF(C31="N/A","N/A",""))</f>
      </c>
      <c r="D33" s="132"/>
      <c r="F33" s="142"/>
      <c r="G33" s="136"/>
      <c r="H33" s="136"/>
      <c r="I33" s="122" t="s">
        <v>141</v>
      </c>
      <c r="J33" s="124" t="s">
        <v>163</v>
      </c>
      <c r="K33" s="153"/>
    </row>
    <row r="34" spans="1:11" ht="14.25" thickBot="1" thickTop="1">
      <c r="A34" s="133"/>
      <c r="B34" s="134"/>
      <c r="C34" s="134"/>
      <c r="D34" s="135"/>
      <c r="F34" s="143"/>
      <c r="G34" s="150"/>
      <c r="H34" s="150"/>
      <c r="I34" s="150"/>
      <c r="J34" s="150"/>
      <c r="K34" s="154"/>
    </row>
    <row r="35" ht="13.5" thickTop="1"/>
  </sheetData>
  <sheetProtection sheet="1" objects="1" scenarios="1"/>
  <mergeCells count="18">
    <mergeCell ref="I26:J26"/>
    <mergeCell ref="B21:C21"/>
    <mergeCell ref="B25:C25"/>
    <mergeCell ref="B29:C29"/>
    <mergeCell ref="I12:J12"/>
    <mergeCell ref="I16:J16"/>
    <mergeCell ref="I20:J20"/>
    <mergeCell ref="I22:J22"/>
    <mergeCell ref="B20:C20"/>
    <mergeCell ref="B22:C22"/>
    <mergeCell ref="B26:C26"/>
    <mergeCell ref="I2:J2"/>
    <mergeCell ref="B4:C4"/>
    <mergeCell ref="B8:C8"/>
    <mergeCell ref="B12:C12"/>
    <mergeCell ref="B16:C16"/>
    <mergeCell ref="I4:J4"/>
    <mergeCell ref="I8:J8"/>
  </mergeCells>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AC179"/>
  <sheetViews>
    <sheetView zoomScale="50" zoomScaleNormal="50" workbookViewId="0" topLeftCell="A1">
      <pane ySplit="15" topLeftCell="BM16" activePane="bottomLeft" state="frozen"/>
      <selection pane="topLeft" activeCell="A1" sqref="A1"/>
      <selection pane="bottomLeft" activeCell="E26" sqref="E26"/>
    </sheetView>
  </sheetViews>
  <sheetFormatPr defaultColWidth="9.140625" defaultRowHeight="12.75"/>
  <cols>
    <col min="1" max="4" width="25.7109375" style="7" customWidth="1"/>
    <col min="5" max="7" width="15.7109375" style="7" customWidth="1"/>
    <col min="8" max="8" width="15.7109375" style="1" customWidth="1"/>
    <col min="9" max="9" width="15.7109375" style="41" customWidth="1"/>
    <col min="10" max="10" width="44.28125" style="41" customWidth="1"/>
    <col min="11" max="11" width="3.7109375" style="41" customWidth="1"/>
    <col min="12" max="13" width="20.7109375" style="41" customWidth="1"/>
    <col min="14" max="16" width="20.7109375" style="4" customWidth="1"/>
    <col min="17" max="17" width="20.7109375" style="0" customWidth="1"/>
    <col min="18" max="20" width="20.7109375" style="1" customWidth="1"/>
    <col min="21" max="21" width="3.7109375" style="0" customWidth="1"/>
    <col min="22" max="23" width="20.7109375" style="0" customWidth="1"/>
    <col min="24" max="24" width="3.7109375" style="0" customWidth="1"/>
    <col min="25" max="26" width="20.7109375" style="0" customWidth="1"/>
  </cols>
  <sheetData>
    <row r="1" spans="1:20" ht="54" customHeight="1">
      <c r="A1" s="35" t="s">
        <v>94</v>
      </c>
      <c r="B1" s="35"/>
      <c r="C1" s="35"/>
      <c r="D1" s="35"/>
      <c r="E1" s="35"/>
      <c r="F1" s="35"/>
      <c r="G1" s="35"/>
      <c r="H1" s="35"/>
      <c r="I1" s="35"/>
      <c r="J1" s="35"/>
      <c r="K1" s="67"/>
      <c r="L1" s="35"/>
      <c r="M1" s="35"/>
      <c r="N1" s="35"/>
      <c r="O1" s="35"/>
      <c r="P1" s="35"/>
      <c r="Q1" s="35"/>
      <c r="R1" s="35"/>
      <c r="S1" s="35"/>
      <c r="T1" s="35"/>
    </row>
    <row r="2" spans="1:20" ht="14.25" customHeight="1">
      <c r="A2" s="35"/>
      <c r="B2" s="91"/>
      <c r="C2" s="91"/>
      <c r="D2" s="91"/>
      <c r="E2" s="35"/>
      <c r="F2" s="35"/>
      <c r="G2" s="35"/>
      <c r="H2" s="35"/>
      <c r="I2" s="35"/>
      <c r="J2" s="35"/>
      <c r="K2" s="67"/>
      <c r="L2" s="35"/>
      <c r="M2" s="35"/>
      <c r="N2" s="35"/>
      <c r="O2" s="35"/>
      <c r="P2" s="35"/>
      <c r="Q2" s="35"/>
      <c r="R2" s="35"/>
      <c r="S2" s="35"/>
      <c r="T2" s="35"/>
    </row>
    <row r="3" spans="1:20" ht="14.25" customHeight="1" thickBot="1">
      <c r="A3" s="51"/>
      <c r="B3" s="2" t="s">
        <v>98</v>
      </c>
      <c r="C3" s="2" t="s">
        <v>99</v>
      </c>
      <c r="E3" s="35"/>
      <c r="F3" s="35"/>
      <c r="G3" s="35"/>
      <c r="H3" s="35"/>
      <c r="I3" s="35"/>
      <c r="J3" s="35"/>
      <c r="K3" s="67"/>
      <c r="L3" s="35"/>
      <c r="M3" s="35"/>
      <c r="N3" s="35"/>
      <c r="O3" s="35"/>
      <c r="P3" s="35"/>
      <c r="Q3" s="35"/>
      <c r="R3" s="35"/>
      <c r="S3" s="35"/>
      <c r="T3" s="35"/>
    </row>
    <row r="4" spans="1:20" ht="24.75" thickBot="1" thickTop="1">
      <c r="A4" s="50" t="s">
        <v>121</v>
      </c>
      <c r="B4" s="284">
        <v>0</v>
      </c>
      <c r="C4" s="284">
        <v>0</v>
      </c>
      <c r="D4" s="285" t="s">
        <v>122</v>
      </c>
      <c r="E4" s="35"/>
      <c r="F4" s="35"/>
      <c r="G4" s="35"/>
      <c r="H4" s="35"/>
      <c r="I4" s="35"/>
      <c r="J4" s="35"/>
      <c r="K4" s="312"/>
      <c r="L4" s="286"/>
      <c r="M4" s="286"/>
      <c r="N4" s="35"/>
      <c r="O4" s="35"/>
      <c r="P4" s="35"/>
      <c r="Q4" s="35"/>
      <c r="R4" s="35"/>
      <c r="S4" s="35"/>
      <c r="T4" s="35"/>
    </row>
    <row r="5" spans="1:20" ht="13.5" customHeight="1" thickBot="1" thickTop="1">
      <c r="A5" s="35"/>
      <c r="B5" s="286"/>
      <c r="C5" s="286"/>
      <c r="D5" s="286"/>
      <c r="E5" s="35"/>
      <c r="F5" s="35"/>
      <c r="G5" s="35"/>
      <c r="H5" s="35"/>
      <c r="I5" s="35"/>
      <c r="J5" s="35"/>
      <c r="K5" s="312"/>
      <c r="L5" s="286"/>
      <c r="M5" s="286"/>
      <c r="N5" s="35"/>
      <c r="O5" s="35"/>
      <c r="P5" s="35"/>
      <c r="Q5" s="35"/>
      <c r="R5" s="95"/>
      <c r="S5" s="95"/>
      <c r="T5" s="95"/>
    </row>
    <row r="6" spans="1:20" ht="27" customHeight="1" thickBot="1" thickTop="1">
      <c r="A6" s="50" t="s">
        <v>105</v>
      </c>
      <c r="B6" s="284">
        <v>45</v>
      </c>
      <c r="C6" s="415" t="s">
        <v>130</v>
      </c>
      <c r="D6" s="416"/>
      <c r="E6" s="36"/>
      <c r="F6" s="1"/>
      <c r="G6" s="1"/>
      <c r="I6" s="42"/>
      <c r="J6" s="42"/>
      <c r="K6" s="313"/>
      <c r="L6" s="417" t="s">
        <v>91</v>
      </c>
      <c r="M6" s="418"/>
      <c r="Q6" s="1"/>
      <c r="R6" s="95"/>
      <c r="S6" s="95"/>
      <c r="T6" s="95"/>
    </row>
    <row r="7" spans="1:20" ht="14.25" thickBot="1" thickTop="1">
      <c r="A7" s="51"/>
      <c r="B7" s="287"/>
      <c r="C7" s="287"/>
      <c r="D7" s="287"/>
      <c r="E7" s="1"/>
      <c r="F7" s="1"/>
      <c r="H7"/>
      <c r="I7" s="42"/>
      <c r="J7" s="42"/>
      <c r="K7" s="313"/>
      <c r="L7" s="314" t="s">
        <v>90</v>
      </c>
      <c r="M7" s="315">
        <v>0</v>
      </c>
      <c r="R7" s="95"/>
      <c r="S7" s="95"/>
      <c r="T7" s="95"/>
    </row>
    <row r="8" spans="1:20" ht="26.25" customHeight="1" thickBot="1" thickTop="1">
      <c r="A8" s="50" t="s">
        <v>128</v>
      </c>
      <c r="B8" s="284">
        <v>0</v>
      </c>
      <c r="C8" s="419" t="s">
        <v>93</v>
      </c>
      <c r="D8" s="420"/>
      <c r="E8" s="15"/>
      <c r="F8" s="53"/>
      <c r="G8" s="53"/>
      <c r="H8"/>
      <c r="I8" s="42"/>
      <c r="J8" s="42"/>
      <c r="K8" s="313"/>
      <c r="L8" s="316" t="s">
        <v>47</v>
      </c>
      <c r="M8" s="317">
        <v>0</v>
      </c>
      <c r="R8" s="95"/>
      <c r="S8" s="95"/>
      <c r="T8" s="95"/>
    </row>
    <row r="9" spans="1:20" ht="27" thickBot="1" thickTop="1">
      <c r="A9" s="50" t="s">
        <v>164</v>
      </c>
      <c r="B9" s="284">
        <v>0.3048</v>
      </c>
      <c r="C9" s="421" t="s">
        <v>111</v>
      </c>
      <c r="D9" s="420"/>
      <c r="E9" s="15"/>
      <c r="F9" s="53"/>
      <c r="G9" s="53"/>
      <c r="I9" s="42"/>
      <c r="J9" s="42"/>
      <c r="K9" s="313"/>
      <c r="L9" s="316" t="s">
        <v>48</v>
      </c>
      <c r="M9" s="317">
        <v>0</v>
      </c>
      <c r="R9" s="95"/>
      <c r="S9" s="95"/>
      <c r="T9" s="95"/>
    </row>
    <row r="10" spans="1:13" ht="14.25" thickBot="1" thickTop="1">
      <c r="A10" s="15"/>
      <c r="B10" s="44"/>
      <c r="C10" s="44"/>
      <c r="D10" s="21"/>
      <c r="E10" s="15"/>
      <c r="F10" s="45"/>
      <c r="G10" s="46"/>
      <c r="I10" s="42"/>
      <c r="J10" s="42"/>
      <c r="K10" s="313"/>
      <c r="L10" s="318" t="s">
        <v>87</v>
      </c>
      <c r="M10" s="317">
        <v>30</v>
      </c>
    </row>
    <row r="11" spans="1:13" ht="14.25" thickBot="1" thickTop="1">
      <c r="A11" s="15" t="s">
        <v>110</v>
      </c>
      <c r="B11" s="203">
        <f>COUNT(Q17:Q116)</f>
        <v>47</v>
      </c>
      <c r="F11" s="53"/>
      <c r="I11" s="42"/>
      <c r="J11" s="42"/>
      <c r="K11" s="313"/>
      <c r="L11" s="319" t="s">
        <v>88</v>
      </c>
      <c r="M11" s="320">
        <v>0.25</v>
      </c>
    </row>
    <row r="12" spans="1:14" ht="14.25" thickBot="1" thickTop="1">
      <c r="A12" s="96"/>
      <c r="B12" s="97"/>
      <c r="C12" s="97"/>
      <c r="D12" s="97"/>
      <c r="I12" s="42"/>
      <c r="J12" s="42"/>
      <c r="K12" s="321"/>
      <c r="L12" s="321"/>
      <c r="M12" s="321"/>
      <c r="N12" s="13"/>
    </row>
    <row r="13" spans="1:26" s="57" customFormat="1" ht="18.75" thickTop="1">
      <c r="A13" s="353" t="s">
        <v>100</v>
      </c>
      <c r="B13" s="354"/>
      <c r="C13" s="354"/>
      <c r="D13" s="354"/>
      <c r="E13" s="354"/>
      <c r="F13" s="354"/>
      <c r="G13" s="354"/>
      <c r="H13" s="354"/>
      <c r="I13" s="354"/>
      <c r="J13" s="355"/>
      <c r="K13" s="1"/>
      <c r="L13" s="342" t="s">
        <v>97</v>
      </c>
      <c r="M13" s="343"/>
      <c r="N13" s="343"/>
      <c r="O13" s="343"/>
      <c r="P13" s="343"/>
      <c r="Q13" s="343"/>
      <c r="R13" s="343"/>
      <c r="S13" s="343"/>
      <c r="T13" s="344"/>
      <c r="V13" s="331" t="s">
        <v>133</v>
      </c>
      <c r="W13" s="332"/>
      <c r="Y13" s="331" t="s">
        <v>134</v>
      </c>
      <c r="Z13" s="332"/>
    </row>
    <row r="14" spans="1:26" s="57" customFormat="1" ht="15.75" customHeight="1">
      <c r="A14" s="351" t="s">
        <v>4</v>
      </c>
      <c r="B14" s="422" t="s">
        <v>124</v>
      </c>
      <c r="C14" s="424" t="s">
        <v>73</v>
      </c>
      <c r="D14" s="425"/>
      <c r="E14" s="424" t="s">
        <v>96</v>
      </c>
      <c r="F14" s="426"/>
      <c r="G14" s="425"/>
      <c r="H14" s="427" t="s">
        <v>95</v>
      </c>
      <c r="I14" s="427"/>
      <c r="J14" s="428" t="s">
        <v>26</v>
      </c>
      <c r="K14" s="288"/>
      <c r="L14" s="430" t="s">
        <v>5</v>
      </c>
      <c r="M14" s="349" t="s">
        <v>1</v>
      </c>
      <c r="N14" s="350"/>
      <c r="O14" s="347" t="s">
        <v>72</v>
      </c>
      <c r="P14" s="339" t="s">
        <v>74</v>
      </c>
      <c r="Q14" s="335" t="s">
        <v>131</v>
      </c>
      <c r="R14" s="341"/>
      <c r="S14" s="335" t="s">
        <v>132</v>
      </c>
      <c r="T14" s="336"/>
      <c r="V14" s="333"/>
      <c r="W14" s="334"/>
      <c r="Y14" s="333"/>
      <c r="Z14" s="334"/>
    </row>
    <row r="15" spans="1:26" s="57" customFormat="1" ht="13.5" thickBot="1">
      <c r="A15" s="352"/>
      <c r="B15" s="423"/>
      <c r="C15" s="289" t="s">
        <v>98</v>
      </c>
      <c r="D15" s="290" t="s">
        <v>99</v>
      </c>
      <c r="E15" s="289" t="s">
        <v>5</v>
      </c>
      <c r="F15" s="290" t="s">
        <v>53</v>
      </c>
      <c r="G15" s="291" t="s">
        <v>101</v>
      </c>
      <c r="H15" s="292" t="s">
        <v>1</v>
      </c>
      <c r="I15" s="293" t="s">
        <v>0</v>
      </c>
      <c r="J15" s="429"/>
      <c r="K15" s="288"/>
      <c r="L15" s="431"/>
      <c r="M15" s="108" t="s">
        <v>129</v>
      </c>
      <c r="N15" s="109" t="s">
        <v>127</v>
      </c>
      <c r="O15" s="348"/>
      <c r="P15" s="340"/>
      <c r="Q15" s="70" t="s">
        <v>98</v>
      </c>
      <c r="R15" s="71" t="s">
        <v>99</v>
      </c>
      <c r="S15" s="70" t="s">
        <v>98</v>
      </c>
      <c r="T15" s="205" t="s">
        <v>99</v>
      </c>
      <c r="V15" s="92" t="s">
        <v>103</v>
      </c>
      <c r="W15" s="93" t="s">
        <v>104</v>
      </c>
      <c r="Y15" s="92" t="s">
        <v>103</v>
      </c>
      <c r="Z15" s="93" t="s">
        <v>104</v>
      </c>
    </row>
    <row r="16" spans="1:26" ht="13.5" thickTop="1">
      <c r="A16" s="65" t="s">
        <v>15</v>
      </c>
      <c r="B16" s="294" t="s">
        <v>16</v>
      </c>
      <c r="C16" s="295" t="s">
        <v>16</v>
      </c>
      <c r="D16" s="295" t="s">
        <v>16</v>
      </c>
      <c r="E16" s="296" t="s">
        <v>16</v>
      </c>
      <c r="F16" s="295" t="s">
        <v>16</v>
      </c>
      <c r="G16" s="297" t="s">
        <v>16</v>
      </c>
      <c r="H16" s="298" t="s">
        <v>16</v>
      </c>
      <c r="I16" s="298" t="s">
        <v>16</v>
      </c>
      <c r="J16" s="299" t="s">
        <v>16</v>
      </c>
      <c r="K16" s="288"/>
      <c r="L16" s="300" t="s">
        <v>16</v>
      </c>
      <c r="M16" s="106" t="s">
        <v>16</v>
      </c>
      <c r="N16" s="107" t="s">
        <v>16</v>
      </c>
      <c r="O16" s="104" t="s">
        <v>16</v>
      </c>
      <c r="P16" s="105" t="s">
        <v>16</v>
      </c>
      <c r="Q16" s="193">
        <v>0</v>
      </c>
      <c r="R16" s="194">
        <v>0</v>
      </c>
      <c r="S16" s="193">
        <v>0</v>
      </c>
      <c r="T16" s="206">
        <v>0</v>
      </c>
      <c r="U16" s="13"/>
      <c r="V16" s="181">
        <v>-137.92440577003265</v>
      </c>
      <c r="W16" s="182">
        <v>-355.077885297546</v>
      </c>
      <c r="Y16" s="181">
        <v>-137.92440577003265</v>
      </c>
      <c r="Z16" s="182">
        <v>-355.077885297546</v>
      </c>
    </row>
    <row r="17" spans="1:26" ht="12.75">
      <c r="A17" s="90">
        <v>1</v>
      </c>
      <c r="B17" s="301" t="s">
        <v>151</v>
      </c>
      <c r="C17" s="302"/>
      <c r="D17" s="302"/>
      <c r="E17" s="303">
        <v>106.06</v>
      </c>
      <c r="F17" s="302"/>
      <c r="G17" s="302"/>
      <c r="H17" s="302"/>
      <c r="I17" s="302" t="s">
        <v>6</v>
      </c>
      <c r="J17" s="304" t="s">
        <v>27</v>
      </c>
      <c r="K17" s="288"/>
      <c r="L17" s="305">
        <v>106.06</v>
      </c>
      <c r="M17" s="186">
        <v>300</v>
      </c>
      <c r="N17" s="187" t="s">
        <v>151</v>
      </c>
      <c r="O17" s="188">
        <v>-91.85065432537758</v>
      </c>
      <c r="P17" s="187">
        <v>53.03</v>
      </c>
      <c r="Q17" s="188">
        <v>-91.85065432537758</v>
      </c>
      <c r="R17" s="187">
        <v>53.03</v>
      </c>
      <c r="S17" s="188">
        <v>-27.45034792357336</v>
      </c>
      <c r="T17" s="207">
        <v>102.4460931362186</v>
      </c>
      <c r="U17" s="13"/>
      <c r="V17" s="181">
        <v>-137.92440577003262</v>
      </c>
      <c r="W17" s="182">
        <v>-131.63477456180436</v>
      </c>
      <c r="Y17" s="181">
        <v>110.6261406149917</v>
      </c>
      <c r="Z17" s="182">
        <v>-197.07974648688662</v>
      </c>
    </row>
    <row r="18" spans="1:26" ht="12.75">
      <c r="A18" s="90">
        <v>2</v>
      </c>
      <c r="B18" s="301" t="s">
        <v>151</v>
      </c>
      <c r="C18" s="302"/>
      <c r="D18" s="302"/>
      <c r="E18" s="303">
        <v>56.15</v>
      </c>
      <c r="F18" s="302"/>
      <c r="G18" s="302"/>
      <c r="H18" s="302"/>
      <c r="I18" s="302" t="s">
        <v>7</v>
      </c>
      <c r="J18" s="304" t="s">
        <v>27</v>
      </c>
      <c r="K18" s="288"/>
      <c r="L18" s="305">
        <v>56.15</v>
      </c>
      <c r="M18" s="186">
        <v>264</v>
      </c>
      <c r="N18" s="187" t="s">
        <v>151</v>
      </c>
      <c r="O18" s="188">
        <v>-55.84240442492855</v>
      </c>
      <c r="P18" s="187">
        <v>-5.869273212478719</v>
      </c>
      <c r="Q18" s="188">
        <v>-147.69305875030614</v>
      </c>
      <c r="R18" s="187">
        <v>47.16072678752128</v>
      </c>
      <c r="S18" s="188">
        <v>-71.08709365938226</v>
      </c>
      <c r="T18" s="207">
        <v>137.78243309366698</v>
      </c>
      <c r="U18" s="13"/>
      <c r="V18" s="181">
        <v>-152.92440577003262</v>
      </c>
      <c r="W18" s="182">
        <v>-131.63477456180436</v>
      </c>
      <c r="Y18" s="181">
        <v>100.01953889719348</v>
      </c>
      <c r="Z18" s="182">
        <v>-186.4731447690884</v>
      </c>
    </row>
    <row r="19" spans="1:26" ht="12.75">
      <c r="A19" s="90">
        <v>3</v>
      </c>
      <c r="B19" s="301" t="s">
        <v>151</v>
      </c>
      <c r="C19" s="302"/>
      <c r="D19" s="302"/>
      <c r="E19" s="303">
        <v>79.03</v>
      </c>
      <c r="F19" s="302"/>
      <c r="G19" s="302"/>
      <c r="H19" s="302"/>
      <c r="I19" s="302" t="s">
        <v>8</v>
      </c>
      <c r="J19" s="304" t="s">
        <v>27</v>
      </c>
      <c r="K19" s="288"/>
      <c r="L19" s="305">
        <v>79.03</v>
      </c>
      <c r="M19" s="186">
        <v>250</v>
      </c>
      <c r="N19" s="187" t="s">
        <v>151</v>
      </c>
      <c r="O19" s="188">
        <v>-74.26390782071034</v>
      </c>
      <c r="P19" s="187">
        <v>-27.029851927027593</v>
      </c>
      <c r="Q19" s="188">
        <v>-221.9569665710165</v>
      </c>
      <c r="R19" s="187">
        <v>20.130874860493684</v>
      </c>
      <c r="S19" s="188">
        <v>-142.71259806888872</v>
      </c>
      <c r="T19" s="207">
        <v>171.18195431903445</v>
      </c>
      <c r="U19" s="13"/>
      <c r="V19" s="181">
        <v>-137.92440577003262</v>
      </c>
      <c r="W19" s="182">
        <v>-57.15373764989049</v>
      </c>
      <c r="Y19" s="181">
        <v>193.47632274333316</v>
      </c>
      <c r="Z19" s="182">
        <v>-144.41370021666683</v>
      </c>
    </row>
    <row r="20" spans="1:26" ht="12.75">
      <c r="A20" s="90">
        <v>4</v>
      </c>
      <c r="B20" s="301" t="s">
        <v>151</v>
      </c>
      <c r="C20" s="302"/>
      <c r="D20" s="302"/>
      <c r="E20" s="303">
        <v>52.49</v>
      </c>
      <c r="F20" s="302"/>
      <c r="G20" s="302"/>
      <c r="H20" s="302"/>
      <c r="I20" s="302" t="s">
        <v>9</v>
      </c>
      <c r="J20" s="304" t="s">
        <v>27</v>
      </c>
      <c r="K20" s="288"/>
      <c r="L20" s="305">
        <v>52.49</v>
      </c>
      <c r="M20" s="186">
        <v>220</v>
      </c>
      <c r="N20" s="187" t="s">
        <v>151</v>
      </c>
      <c r="O20" s="188">
        <v>-33.73992163244646</v>
      </c>
      <c r="P20" s="187">
        <v>-40.20967281931515</v>
      </c>
      <c r="Q20" s="188">
        <v>-255.69688820346295</v>
      </c>
      <c r="R20" s="187">
        <v>-20.07879795882147</v>
      </c>
      <c r="S20" s="188">
        <v>-195.00285777172445</v>
      </c>
      <c r="T20" s="207">
        <v>166.60714938220988</v>
      </c>
      <c r="U20" s="13"/>
      <c r="V20" s="181">
        <v>-122.92440577003262</v>
      </c>
      <c r="W20" s="182">
        <v>-131.51746916341278</v>
      </c>
      <c r="Y20" s="181">
        <v>121.23274233278991</v>
      </c>
      <c r="Z20" s="182">
        <v>-207.68634820468483</v>
      </c>
    </row>
    <row r="21" spans="1:26" ht="13.5" thickBot="1">
      <c r="A21" s="90">
        <v>5</v>
      </c>
      <c r="B21" s="301" t="s">
        <v>151</v>
      </c>
      <c r="C21" s="302"/>
      <c r="D21" s="302"/>
      <c r="E21" s="303">
        <v>144.23</v>
      </c>
      <c r="F21" s="302"/>
      <c r="G21" s="302"/>
      <c r="H21" s="302"/>
      <c r="I21" s="302" t="s">
        <v>10</v>
      </c>
      <c r="J21" s="304" t="s">
        <v>27</v>
      </c>
      <c r="K21" s="288"/>
      <c r="L21" s="305">
        <v>144.23</v>
      </c>
      <c r="M21" s="186">
        <v>198</v>
      </c>
      <c r="N21" s="187" t="s">
        <v>151</v>
      </c>
      <c r="O21" s="188">
        <v>-44.56952109869869</v>
      </c>
      <c r="P21" s="187">
        <v>-137.17088134525</v>
      </c>
      <c r="Q21" s="188">
        <v>-300.2664093021616</v>
      </c>
      <c r="R21" s="187">
        <v>-157.24967930407146</v>
      </c>
      <c r="S21" s="188">
        <v>-323.5127287554128</v>
      </c>
      <c r="T21" s="207">
        <v>101.12809960477513</v>
      </c>
      <c r="U21" s="13"/>
      <c r="V21" s="183">
        <v>-137.92440577003262</v>
      </c>
      <c r="W21" s="184">
        <v>-131.63477456180436</v>
      </c>
      <c r="Y21" s="183">
        <v>110.6261406149917</v>
      </c>
      <c r="Z21" s="184">
        <v>-197.07974648688662</v>
      </c>
    </row>
    <row r="22" spans="1:21" ht="13.5" thickTop="1">
      <c r="A22" s="90">
        <v>6</v>
      </c>
      <c r="B22" s="301" t="s">
        <v>151</v>
      </c>
      <c r="C22" s="302"/>
      <c r="D22" s="302"/>
      <c r="E22" s="303">
        <v>119</v>
      </c>
      <c r="F22" s="302"/>
      <c r="G22" s="302"/>
      <c r="H22" s="302"/>
      <c r="I22" s="302" t="s">
        <v>11</v>
      </c>
      <c r="J22" s="304" t="s">
        <v>27</v>
      </c>
      <c r="K22" s="288"/>
      <c r="L22" s="305">
        <v>119</v>
      </c>
      <c r="M22" s="186">
        <v>237</v>
      </c>
      <c r="N22" s="187" t="s">
        <v>151</v>
      </c>
      <c r="O22" s="188">
        <v>-99.80179758550547</v>
      </c>
      <c r="P22" s="187">
        <v>-64.81204516678822</v>
      </c>
      <c r="Q22" s="188">
        <v>-400.0682068876671</v>
      </c>
      <c r="R22" s="187">
        <v>-222.0617244708597</v>
      </c>
      <c r="S22" s="188">
        <v>-439.9122932427357</v>
      </c>
      <c r="T22" s="207">
        <v>125.86959081208849</v>
      </c>
      <c r="U22" s="13"/>
    </row>
    <row r="23" spans="1:21" ht="12.75">
      <c r="A23" s="90">
        <v>7</v>
      </c>
      <c r="B23" s="301" t="s">
        <v>151</v>
      </c>
      <c r="C23" s="302"/>
      <c r="D23" s="302"/>
      <c r="E23" s="303">
        <v>98.9</v>
      </c>
      <c r="F23" s="302"/>
      <c r="G23" s="302"/>
      <c r="H23" s="302"/>
      <c r="I23" s="302" t="s">
        <v>12</v>
      </c>
      <c r="J23" s="304" t="s">
        <v>27</v>
      </c>
      <c r="K23" s="288"/>
      <c r="L23" s="305">
        <v>98.9</v>
      </c>
      <c r="M23" s="186">
        <v>259</v>
      </c>
      <c r="N23" s="187" t="s">
        <v>151</v>
      </c>
      <c r="O23" s="188">
        <v>-97.08292844297397</v>
      </c>
      <c r="P23" s="187">
        <v>-18.871009642740272</v>
      </c>
      <c r="Q23" s="188">
        <v>-497.15113533064107</v>
      </c>
      <c r="R23" s="187">
        <v>-240.93273411359996</v>
      </c>
      <c r="S23" s="188">
        <v>-521.9041091684293</v>
      </c>
      <c r="T23" s="207">
        <v>181.17376896534535</v>
      </c>
      <c r="U23" s="13"/>
    </row>
    <row r="24" spans="1:24" ht="12.75">
      <c r="A24" s="90">
        <v>8</v>
      </c>
      <c r="B24" s="301" t="s">
        <v>151</v>
      </c>
      <c r="C24" s="302"/>
      <c r="D24" s="302"/>
      <c r="E24" s="303">
        <v>94.7</v>
      </c>
      <c r="F24" s="302"/>
      <c r="G24" s="302"/>
      <c r="H24" s="302"/>
      <c r="I24" s="302" t="s">
        <v>7</v>
      </c>
      <c r="J24" s="304" t="s">
        <v>27</v>
      </c>
      <c r="K24" s="288"/>
      <c r="L24" s="305">
        <v>94.7</v>
      </c>
      <c r="M24" s="186">
        <v>264</v>
      </c>
      <c r="N24" s="187" t="s">
        <v>151</v>
      </c>
      <c r="O24" s="188">
        <v>-94.18122349137549</v>
      </c>
      <c r="P24" s="187">
        <v>-9.898845471446744</v>
      </c>
      <c r="Q24" s="188">
        <v>-591.3323588220165</v>
      </c>
      <c r="R24" s="187">
        <v>-250.8315795850467</v>
      </c>
      <c r="S24" s="188">
        <v>-595.4998317184044</v>
      </c>
      <c r="T24" s="207">
        <v>240.77040999776497</v>
      </c>
      <c r="U24" s="13"/>
      <c r="V24" s="1"/>
      <c r="X24" s="13"/>
    </row>
    <row r="25" spans="1:24" ht="12.75">
      <c r="A25" s="90">
        <v>9</v>
      </c>
      <c r="B25" s="301" t="s">
        <v>151</v>
      </c>
      <c r="C25" s="302"/>
      <c r="D25" s="302"/>
      <c r="E25" s="303">
        <v>63.29</v>
      </c>
      <c r="F25" s="302"/>
      <c r="G25" s="302"/>
      <c r="H25" s="302"/>
      <c r="I25" s="302" t="s">
        <v>9</v>
      </c>
      <c r="J25" s="304" t="s">
        <v>27</v>
      </c>
      <c r="K25" s="288"/>
      <c r="L25" s="305">
        <v>63.29</v>
      </c>
      <c r="M25" s="186">
        <v>220</v>
      </c>
      <c r="N25" s="187" t="s">
        <v>151</v>
      </c>
      <c r="O25" s="188">
        <v>-40.68202781706108</v>
      </c>
      <c r="P25" s="187">
        <v>-48.48295280500011</v>
      </c>
      <c r="Q25" s="188">
        <v>-632.0143866390777</v>
      </c>
      <c r="R25" s="187">
        <v>-299.3145323900468</v>
      </c>
      <c r="S25" s="188">
        <v>-658.548994160631</v>
      </c>
      <c r="T25" s="207">
        <v>235.2543230392657</v>
      </c>
      <c r="U25" s="13"/>
      <c r="V25" s="1"/>
      <c r="X25" s="13"/>
    </row>
    <row r="26" spans="1:24" ht="12.75">
      <c r="A26" s="90">
        <v>10</v>
      </c>
      <c r="B26" s="301" t="s">
        <v>151</v>
      </c>
      <c r="C26" s="302"/>
      <c r="D26" s="302"/>
      <c r="E26" s="303">
        <v>190.25</v>
      </c>
      <c r="F26" s="302"/>
      <c r="G26" s="302"/>
      <c r="H26" s="302"/>
      <c r="I26" s="302" t="s">
        <v>13</v>
      </c>
      <c r="J26" s="304" t="s">
        <v>27</v>
      </c>
      <c r="K26" s="288"/>
      <c r="L26" s="305">
        <v>190.25</v>
      </c>
      <c r="M26" s="186">
        <v>200</v>
      </c>
      <c r="N26" s="187" t="s">
        <v>151</v>
      </c>
      <c r="O26" s="188">
        <v>-65.0693322677086</v>
      </c>
      <c r="P26" s="187">
        <v>-178.77652110451905</v>
      </c>
      <c r="Q26" s="188">
        <v>-697.0837189067863</v>
      </c>
      <c r="R26" s="187">
        <v>-478.0910534945658</v>
      </c>
      <c r="S26" s="188">
        <v>-830.9740506443536</v>
      </c>
      <c r="T26" s="207">
        <v>154.85119874309765</v>
      </c>
      <c r="U26" s="13"/>
      <c r="V26" s="1"/>
      <c r="X26" s="13"/>
    </row>
    <row r="27" spans="1:22" ht="12.75">
      <c r="A27" s="90">
        <v>11</v>
      </c>
      <c r="B27" s="301" t="s">
        <v>151</v>
      </c>
      <c r="C27" s="302"/>
      <c r="D27" s="302"/>
      <c r="E27" s="303">
        <v>53.59</v>
      </c>
      <c r="F27" s="302"/>
      <c r="G27" s="302"/>
      <c r="H27" s="302"/>
      <c r="I27" s="302" t="s">
        <v>14</v>
      </c>
      <c r="J27" s="304" t="s">
        <v>27</v>
      </c>
      <c r="K27" s="288"/>
      <c r="L27" s="305">
        <v>53.59</v>
      </c>
      <c r="M27" s="186">
        <v>215</v>
      </c>
      <c r="N27" s="187" t="s">
        <v>151</v>
      </c>
      <c r="O27" s="188">
        <v>-30.737961224052576</v>
      </c>
      <c r="P27" s="187">
        <v>-43.89835805344706</v>
      </c>
      <c r="Q27" s="188">
        <v>-727.8216801308389</v>
      </c>
      <c r="R27" s="187">
        <v>-521.9894115480129</v>
      </c>
      <c r="S27" s="188">
        <v>-883.7498981282779</v>
      </c>
      <c r="T27" s="207">
        <v>145.54539290192685</v>
      </c>
      <c r="U27" s="13"/>
      <c r="V27" s="1"/>
    </row>
    <row r="28" spans="1:22" ht="12.75">
      <c r="A28" s="90">
        <v>12</v>
      </c>
      <c r="B28" s="301" t="s">
        <v>151</v>
      </c>
      <c r="C28" s="302"/>
      <c r="D28" s="302"/>
      <c r="E28" s="303">
        <v>98.14</v>
      </c>
      <c r="F28" s="302"/>
      <c r="G28" s="302"/>
      <c r="H28" s="302"/>
      <c r="I28" s="302" t="s">
        <v>2</v>
      </c>
      <c r="J28" s="304" t="s">
        <v>28</v>
      </c>
      <c r="K28" s="288"/>
      <c r="L28" s="305">
        <v>98.14</v>
      </c>
      <c r="M28" s="186">
        <v>193</v>
      </c>
      <c r="N28" s="187" t="s">
        <v>151</v>
      </c>
      <c r="O28" s="188">
        <v>-22.076696473306935</v>
      </c>
      <c r="P28" s="187">
        <v>-95.62467815802297</v>
      </c>
      <c r="Q28" s="188">
        <v>-749.8983766041458</v>
      </c>
      <c r="R28" s="187">
        <v>-617.6140897060359</v>
      </c>
      <c r="S28" s="188">
        <v>-966.9773382850695</v>
      </c>
      <c r="T28" s="207">
        <v>93.53911631008012</v>
      </c>
      <c r="U28" s="13"/>
      <c r="V28" s="1"/>
    </row>
    <row r="29" spans="1:22" ht="12.75">
      <c r="A29" s="90">
        <v>13</v>
      </c>
      <c r="B29" s="301" t="s">
        <v>151</v>
      </c>
      <c r="C29" s="302"/>
      <c r="D29" s="302"/>
      <c r="E29" s="303">
        <v>53.32</v>
      </c>
      <c r="F29" s="302"/>
      <c r="G29" s="302"/>
      <c r="H29" s="302"/>
      <c r="I29" s="302" t="s">
        <v>3</v>
      </c>
      <c r="J29" s="304" t="s">
        <v>28</v>
      </c>
      <c r="K29" s="288"/>
      <c r="L29" s="305">
        <v>53.32</v>
      </c>
      <c r="M29" s="186">
        <v>196</v>
      </c>
      <c r="N29" s="187" t="s">
        <v>151</v>
      </c>
      <c r="O29" s="188">
        <v>-14.696983812162381</v>
      </c>
      <c r="P29" s="187">
        <v>-51.25447362743117</v>
      </c>
      <c r="Q29" s="188">
        <v>-764.5953604163082</v>
      </c>
      <c r="R29" s="187">
        <v>-668.868563333467</v>
      </c>
      <c r="S29" s="188">
        <v>-1013.6120610697421</v>
      </c>
      <c r="T29" s="207">
        <v>67.68906735854543</v>
      </c>
      <c r="U29" s="13"/>
      <c r="V29" s="1"/>
    </row>
    <row r="30" spans="1:22" ht="12.75">
      <c r="A30" s="90">
        <v>14</v>
      </c>
      <c r="B30" s="301" t="s">
        <v>151</v>
      </c>
      <c r="C30" s="302"/>
      <c r="D30" s="302"/>
      <c r="E30" s="303">
        <v>63.77</v>
      </c>
      <c r="F30" s="302"/>
      <c r="G30" s="302"/>
      <c r="H30" s="302"/>
      <c r="I30" s="302" t="s">
        <v>17</v>
      </c>
      <c r="J30" s="304" t="s">
        <v>28</v>
      </c>
      <c r="K30" s="288"/>
      <c r="L30" s="305">
        <v>63.77</v>
      </c>
      <c r="M30" s="186">
        <v>191</v>
      </c>
      <c r="N30" s="187" t="s">
        <v>151</v>
      </c>
      <c r="O30" s="188">
        <v>-12.167889635162306</v>
      </c>
      <c r="P30" s="187">
        <v>-62.598365488457524</v>
      </c>
      <c r="Q30" s="188">
        <v>-776.7632500514704</v>
      </c>
      <c r="R30" s="187">
        <v>-731.4669288219245</v>
      </c>
      <c r="S30" s="188">
        <v>-1066.4797870715772</v>
      </c>
      <c r="T30" s="207">
        <v>32.02933590421591</v>
      </c>
      <c r="U30" s="13"/>
      <c r="V30" s="1"/>
    </row>
    <row r="31" spans="1:22" ht="12.75">
      <c r="A31" s="90">
        <v>15</v>
      </c>
      <c r="B31" s="301" t="s">
        <v>151</v>
      </c>
      <c r="C31" s="302"/>
      <c r="D31" s="302"/>
      <c r="E31" s="303">
        <v>12.65</v>
      </c>
      <c r="F31" s="302"/>
      <c r="G31" s="302"/>
      <c r="H31" s="302"/>
      <c r="I31" s="302" t="s">
        <v>18</v>
      </c>
      <c r="J31" s="304" t="s">
        <v>28</v>
      </c>
      <c r="K31" s="288"/>
      <c r="L31" s="305">
        <v>12.65</v>
      </c>
      <c r="M31" s="186">
        <v>179</v>
      </c>
      <c r="N31" s="187" t="s">
        <v>151</v>
      </c>
      <c r="O31" s="188">
        <v>0.2207729414316316</v>
      </c>
      <c r="P31" s="187">
        <v>-12.64807334372835</v>
      </c>
      <c r="Q31" s="188">
        <v>-776.5424771100388</v>
      </c>
      <c r="R31" s="187">
        <v>-744.1150021656529</v>
      </c>
      <c r="S31" s="188">
        <v>-1075.2672154578836</v>
      </c>
      <c r="T31" s="207">
        <v>22.92968742993198</v>
      </c>
      <c r="U31" s="13"/>
      <c r="V31" s="1"/>
    </row>
    <row r="32" spans="1:23" ht="12.75">
      <c r="A32" s="90">
        <v>16</v>
      </c>
      <c r="B32" s="301" t="s">
        <v>151</v>
      </c>
      <c r="C32" s="302"/>
      <c r="D32" s="302"/>
      <c r="E32" s="303">
        <v>68.32</v>
      </c>
      <c r="F32" s="302"/>
      <c r="G32" s="302"/>
      <c r="H32" s="302"/>
      <c r="I32" s="302" t="s">
        <v>19</v>
      </c>
      <c r="J32" s="304" t="s">
        <v>28</v>
      </c>
      <c r="K32" s="288"/>
      <c r="L32" s="305">
        <v>68.32</v>
      </c>
      <c r="M32" s="186">
        <v>96</v>
      </c>
      <c r="N32" s="187" t="s">
        <v>151</v>
      </c>
      <c r="O32" s="188">
        <v>67.94573589156042</v>
      </c>
      <c r="P32" s="187">
        <v>-7.141384610446081</v>
      </c>
      <c r="Q32" s="188">
        <v>-708.5967412184784</v>
      </c>
      <c r="R32" s="187">
        <v>-751.2563867760989</v>
      </c>
      <c r="S32" s="188">
        <v>-1032.2720463413586</v>
      </c>
      <c r="T32" s="207">
        <v>-30.16492465680826</v>
      </c>
      <c r="U32" s="13"/>
      <c r="V32" s="72"/>
      <c r="W32" s="78"/>
    </row>
    <row r="33" spans="1:23" ht="12.75">
      <c r="A33" s="90">
        <v>17</v>
      </c>
      <c r="B33" s="301" t="s">
        <v>151</v>
      </c>
      <c r="C33" s="302"/>
      <c r="D33" s="302"/>
      <c r="E33" s="303">
        <v>69.81</v>
      </c>
      <c r="F33" s="302"/>
      <c r="G33" s="302"/>
      <c r="H33" s="302"/>
      <c r="I33" s="302" t="s">
        <v>20</v>
      </c>
      <c r="J33" s="304" t="s">
        <v>28</v>
      </c>
      <c r="K33" s="288"/>
      <c r="L33" s="305">
        <v>69.81</v>
      </c>
      <c r="M33" s="186">
        <v>94</v>
      </c>
      <c r="N33" s="187" t="s">
        <v>151</v>
      </c>
      <c r="O33" s="188">
        <v>69.63994634863833</v>
      </c>
      <c r="P33" s="187">
        <v>-4.86969943207735</v>
      </c>
      <c r="Q33" s="188">
        <v>-638.9567948698401</v>
      </c>
      <c r="R33" s="187">
        <v>-756.1260862081763</v>
      </c>
      <c r="S33" s="188">
        <v>-986.4725655275313</v>
      </c>
      <c r="T33" s="207">
        <v>-82.85120045215999</v>
      </c>
      <c r="U33" s="13"/>
      <c r="V33" s="33"/>
      <c r="W33" s="78"/>
    </row>
    <row r="34" spans="1:23" ht="12.75">
      <c r="A34" s="90">
        <v>18</v>
      </c>
      <c r="B34" s="301" t="s">
        <v>151</v>
      </c>
      <c r="C34" s="302"/>
      <c r="D34" s="302"/>
      <c r="E34" s="303">
        <v>77.86</v>
      </c>
      <c r="F34" s="302"/>
      <c r="G34" s="302"/>
      <c r="H34" s="302"/>
      <c r="I34" s="302" t="s">
        <v>21</v>
      </c>
      <c r="J34" s="304" t="s">
        <v>28</v>
      </c>
      <c r="K34" s="288"/>
      <c r="L34" s="305">
        <v>77.86</v>
      </c>
      <c r="M34" s="186">
        <v>93</v>
      </c>
      <c r="N34" s="187" t="s">
        <v>151</v>
      </c>
      <c r="O34" s="188">
        <v>77.75329557599112</v>
      </c>
      <c r="P34" s="187">
        <v>-4.074877553075648</v>
      </c>
      <c r="Q34" s="188">
        <v>-561.203499293849</v>
      </c>
      <c r="R34" s="187">
        <v>-760.200963761252</v>
      </c>
      <c r="S34" s="188">
        <v>-934.3740565164306</v>
      </c>
      <c r="T34" s="207">
        <v>-140.71245656382993</v>
      </c>
      <c r="U34" s="13"/>
      <c r="V34" s="12"/>
      <c r="W34" s="12"/>
    </row>
    <row r="35" spans="1:23" ht="12.75">
      <c r="A35" s="90">
        <v>19</v>
      </c>
      <c r="B35" s="301" t="s">
        <v>151</v>
      </c>
      <c r="C35" s="302"/>
      <c r="D35" s="302"/>
      <c r="E35" s="303">
        <v>81.99</v>
      </c>
      <c r="F35" s="302"/>
      <c r="G35" s="302"/>
      <c r="H35" s="302"/>
      <c r="I35" s="302" t="s">
        <v>22</v>
      </c>
      <c r="J35" s="304" t="s">
        <v>28</v>
      </c>
      <c r="K35" s="288"/>
      <c r="L35" s="305">
        <v>81.99</v>
      </c>
      <c r="M35" s="186">
        <v>97</v>
      </c>
      <c r="N35" s="187" t="s">
        <v>151</v>
      </c>
      <c r="O35" s="188">
        <v>81.37885897307198</v>
      </c>
      <c r="P35" s="187">
        <v>-9.992067465788093</v>
      </c>
      <c r="Q35" s="188">
        <v>-479.82464032077695</v>
      </c>
      <c r="R35" s="187">
        <v>-770.19303122704</v>
      </c>
      <c r="S35" s="188">
        <v>-883.8959721544799</v>
      </c>
      <c r="T35" s="207">
        <v>-205.32145825204503</v>
      </c>
      <c r="U35" s="13"/>
      <c r="V35" s="73"/>
      <c r="W35" s="73"/>
    </row>
    <row r="36" spans="1:23" ht="12.75">
      <c r="A36" s="90">
        <v>20</v>
      </c>
      <c r="B36" s="301" t="s">
        <v>151</v>
      </c>
      <c r="C36" s="302"/>
      <c r="D36" s="302"/>
      <c r="E36" s="303">
        <v>72.55</v>
      </c>
      <c r="F36" s="302"/>
      <c r="G36" s="302"/>
      <c r="H36" s="302"/>
      <c r="I36" s="302" t="s">
        <v>22</v>
      </c>
      <c r="J36" s="304" t="s">
        <v>28</v>
      </c>
      <c r="K36" s="288"/>
      <c r="L36" s="305">
        <v>72.55</v>
      </c>
      <c r="M36" s="186">
        <v>97</v>
      </c>
      <c r="N36" s="187" t="s">
        <v>151</v>
      </c>
      <c r="O36" s="188">
        <v>72.0092233015779</v>
      </c>
      <c r="P36" s="187">
        <v>-8.841620864043495</v>
      </c>
      <c r="Q36" s="188">
        <v>-407.81541701919906</v>
      </c>
      <c r="R36" s="187">
        <v>-779.0346520910836</v>
      </c>
      <c r="S36" s="188">
        <v>-839.2297321196033</v>
      </c>
      <c r="T36" s="207">
        <v>-262.4916384262127</v>
      </c>
      <c r="U36" s="13"/>
      <c r="V36" s="40"/>
      <c r="W36" s="74"/>
    </row>
    <row r="37" spans="1:23" ht="12.75">
      <c r="A37" s="90">
        <v>21</v>
      </c>
      <c r="B37" s="301" t="s">
        <v>151</v>
      </c>
      <c r="C37" s="302"/>
      <c r="D37" s="302"/>
      <c r="E37" s="303">
        <v>28.44</v>
      </c>
      <c r="F37" s="302"/>
      <c r="G37" s="302"/>
      <c r="H37" s="302"/>
      <c r="I37" s="302" t="s">
        <v>23</v>
      </c>
      <c r="J37" s="304" t="s">
        <v>28</v>
      </c>
      <c r="K37" s="288"/>
      <c r="L37" s="305">
        <v>28.44</v>
      </c>
      <c r="M37" s="186">
        <v>89</v>
      </c>
      <c r="N37" s="187" t="s">
        <v>151</v>
      </c>
      <c r="O37" s="188">
        <v>28.435668450247768</v>
      </c>
      <c r="P37" s="187">
        <v>0.4963464390763306</v>
      </c>
      <c r="Q37" s="188">
        <v>-379.3797485689513</v>
      </c>
      <c r="R37" s="187">
        <v>-778.5383056520072</v>
      </c>
      <c r="S37" s="188">
        <v>-818.7717081979721</v>
      </c>
      <c r="T37" s="207">
        <v>-282.2477224820666</v>
      </c>
      <c r="U37" s="13"/>
      <c r="V37" s="33"/>
      <c r="W37" s="78"/>
    </row>
    <row r="38" spans="1:23" ht="12.75">
      <c r="A38" s="90">
        <v>22</v>
      </c>
      <c r="B38" s="301" t="s">
        <v>151</v>
      </c>
      <c r="C38" s="302"/>
      <c r="D38" s="302"/>
      <c r="E38" s="303">
        <v>72.94</v>
      </c>
      <c r="F38" s="302"/>
      <c r="G38" s="302"/>
      <c r="H38" s="302"/>
      <c r="I38" s="302" t="s">
        <v>20</v>
      </c>
      <c r="J38" s="304" t="s">
        <v>28</v>
      </c>
      <c r="K38" s="288"/>
      <c r="L38" s="305">
        <v>72.94</v>
      </c>
      <c r="M38" s="186">
        <v>94</v>
      </c>
      <c r="N38" s="187" t="s">
        <v>151</v>
      </c>
      <c r="O38" s="188">
        <v>72.76232182595159</v>
      </c>
      <c r="P38" s="187">
        <v>-5.08803719489646</v>
      </c>
      <c r="Q38" s="188">
        <v>-306.6174267429997</v>
      </c>
      <c r="R38" s="187">
        <v>-783.6263428469038</v>
      </c>
      <c r="S38" s="188">
        <v>-770.9187626234045</v>
      </c>
      <c r="T38" s="207">
        <v>-337.2962392635156</v>
      </c>
      <c r="U38" s="13"/>
      <c r="V38" s="12"/>
      <c r="W38" s="12"/>
    </row>
    <row r="39" spans="1:23" ht="12.75">
      <c r="A39" s="90">
        <v>23</v>
      </c>
      <c r="B39" s="301" t="s">
        <v>151</v>
      </c>
      <c r="C39" s="302"/>
      <c r="D39" s="302"/>
      <c r="E39" s="303">
        <v>74.88</v>
      </c>
      <c r="F39" s="302"/>
      <c r="G39" s="302"/>
      <c r="H39" s="302"/>
      <c r="I39" s="302" t="s">
        <v>24</v>
      </c>
      <c r="J39" s="304" t="s">
        <v>28</v>
      </c>
      <c r="K39" s="288"/>
      <c r="L39" s="305">
        <v>74.88</v>
      </c>
      <c r="M39" s="186">
        <v>92</v>
      </c>
      <c r="N39" s="187" t="s">
        <v>151</v>
      </c>
      <c r="O39" s="188">
        <v>74.83438512718989</v>
      </c>
      <c r="P39" s="187">
        <v>-2.6132743130832616</v>
      </c>
      <c r="Q39" s="188">
        <v>-231.78304161580985</v>
      </c>
      <c r="R39" s="187">
        <v>-786.239617159987</v>
      </c>
      <c r="S39" s="188">
        <v>-719.8507254219247</v>
      </c>
      <c r="T39" s="207">
        <v>-392.0600044407591</v>
      </c>
      <c r="U39" s="13"/>
      <c r="V39" s="73"/>
      <c r="W39" s="73"/>
    </row>
    <row r="40" spans="1:23" ht="12.75">
      <c r="A40" s="90">
        <v>24</v>
      </c>
      <c r="B40" s="301" t="s">
        <v>151</v>
      </c>
      <c r="C40" s="302"/>
      <c r="D40" s="302"/>
      <c r="E40" s="303">
        <v>72.94</v>
      </c>
      <c r="F40" s="302"/>
      <c r="G40" s="302"/>
      <c r="H40" s="302"/>
      <c r="I40" s="302" t="s">
        <v>25</v>
      </c>
      <c r="J40" s="304" t="s">
        <v>28</v>
      </c>
      <c r="K40" s="288"/>
      <c r="L40" s="305">
        <v>72.94</v>
      </c>
      <c r="M40" s="186">
        <v>91</v>
      </c>
      <c r="N40" s="187" t="s">
        <v>151</v>
      </c>
      <c r="O40" s="188">
        <v>72.92889088470717</v>
      </c>
      <c r="P40" s="187">
        <v>-1.2729785255355277</v>
      </c>
      <c r="Q40" s="188">
        <v>-158.85415073110266</v>
      </c>
      <c r="R40" s="187">
        <v>-787.5125956855226</v>
      </c>
      <c r="S40" s="188">
        <v>-669.1823438806455</v>
      </c>
      <c r="T40" s="207">
        <v>-444.52864947746036</v>
      </c>
      <c r="U40" s="13"/>
      <c r="V40" s="40"/>
      <c r="W40" s="74"/>
    </row>
    <row r="41" spans="1:23" ht="12.75">
      <c r="A41" s="90">
        <v>25</v>
      </c>
      <c r="B41" s="301" t="s">
        <v>151</v>
      </c>
      <c r="C41" s="302"/>
      <c r="D41" s="302"/>
      <c r="E41" s="303">
        <v>36.95</v>
      </c>
      <c r="F41" s="302"/>
      <c r="G41" s="302"/>
      <c r="H41" s="302"/>
      <c r="I41" s="302" t="s">
        <v>30</v>
      </c>
      <c r="J41" s="304" t="s">
        <v>29</v>
      </c>
      <c r="K41" s="288"/>
      <c r="L41" s="305">
        <v>36.95</v>
      </c>
      <c r="M41" s="186">
        <v>98</v>
      </c>
      <c r="N41" s="187" t="s">
        <v>151</v>
      </c>
      <c r="O41" s="188">
        <v>36.590405140001025</v>
      </c>
      <c r="P41" s="187">
        <v>-5.142446080474435</v>
      </c>
      <c r="Q41" s="188">
        <v>-122.26374559110164</v>
      </c>
      <c r="R41" s="187">
        <v>-792.655041765997</v>
      </c>
      <c r="S41" s="188">
        <v>-646.9452787751773</v>
      </c>
      <c r="T41" s="207">
        <v>-474.03823157370783</v>
      </c>
      <c r="U41" s="13"/>
      <c r="V41" s="33"/>
      <c r="W41" s="78"/>
    </row>
    <row r="42" spans="1:29" ht="12.75">
      <c r="A42" s="90">
        <v>26</v>
      </c>
      <c r="B42" s="301" t="s">
        <v>151</v>
      </c>
      <c r="C42" s="302"/>
      <c r="D42" s="302"/>
      <c r="E42" s="303">
        <v>82.61</v>
      </c>
      <c r="F42" s="302"/>
      <c r="G42" s="302"/>
      <c r="H42" s="302"/>
      <c r="I42" s="302" t="s">
        <v>22</v>
      </c>
      <c r="J42" s="304" t="s">
        <v>29</v>
      </c>
      <c r="K42" s="288"/>
      <c r="L42" s="305">
        <v>82.61</v>
      </c>
      <c r="M42" s="186">
        <v>97</v>
      </c>
      <c r="N42" s="187" t="s">
        <v>151</v>
      </c>
      <c r="O42" s="188">
        <v>81.99423758708961</v>
      </c>
      <c r="P42" s="187">
        <v>-10.067626458699285</v>
      </c>
      <c r="Q42" s="188">
        <v>-40.269508004012025</v>
      </c>
      <c r="R42" s="187">
        <v>-802.7226682246962</v>
      </c>
      <c r="S42" s="188">
        <v>-596.0854842985246</v>
      </c>
      <c r="T42" s="207">
        <v>-539.1357999291591</v>
      </c>
      <c r="V42" s="12"/>
      <c r="W42" s="12"/>
      <c r="X42" s="23"/>
      <c r="Y42" s="23"/>
      <c r="Z42" s="23"/>
      <c r="AA42" s="23"/>
      <c r="AB42" s="23"/>
      <c r="AC42" s="23"/>
    </row>
    <row r="43" spans="1:23" ht="12.75">
      <c r="A43" s="90">
        <v>27</v>
      </c>
      <c r="B43" s="301" t="s">
        <v>151</v>
      </c>
      <c r="C43" s="302"/>
      <c r="D43" s="302"/>
      <c r="E43" s="303">
        <v>91.61</v>
      </c>
      <c r="F43" s="302"/>
      <c r="G43" s="302"/>
      <c r="H43" s="302"/>
      <c r="I43" s="302" t="s">
        <v>31</v>
      </c>
      <c r="J43" s="304" t="s">
        <v>29</v>
      </c>
      <c r="K43" s="288"/>
      <c r="L43" s="305">
        <v>91.61</v>
      </c>
      <c r="M43" s="186">
        <v>90</v>
      </c>
      <c r="N43" s="187" t="s">
        <v>151</v>
      </c>
      <c r="O43" s="188">
        <v>91.61</v>
      </c>
      <c r="P43" s="187">
        <v>-2.2447169990835736E-14</v>
      </c>
      <c r="Q43" s="188">
        <v>51.340491995987975</v>
      </c>
      <c r="R43" s="187">
        <v>-802.7226682246962</v>
      </c>
      <c r="S43" s="188">
        <v>-531.3074320740251</v>
      </c>
      <c r="T43" s="207">
        <v>-603.9138521536588</v>
      </c>
      <c r="V43" s="73"/>
      <c r="W43" s="73"/>
    </row>
    <row r="44" spans="1:23" ht="12.75">
      <c r="A44" s="90">
        <v>28</v>
      </c>
      <c r="B44" s="301" t="s">
        <v>151</v>
      </c>
      <c r="C44" s="302"/>
      <c r="D44" s="302"/>
      <c r="E44" s="303">
        <v>44.16</v>
      </c>
      <c r="F44" s="302"/>
      <c r="G44" s="302"/>
      <c r="H44" s="302"/>
      <c r="I44" s="302" t="s">
        <v>32</v>
      </c>
      <c r="J44" s="304" t="s">
        <v>29</v>
      </c>
      <c r="K44" s="288"/>
      <c r="L44" s="305">
        <v>44.16</v>
      </c>
      <c r="M44" s="186">
        <v>95</v>
      </c>
      <c r="N44" s="187" t="s">
        <v>151</v>
      </c>
      <c r="O44" s="188">
        <v>43.99195786773148</v>
      </c>
      <c r="P44" s="187">
        <v>-3.848797599736591</v>
      </c>
      <c r="Q44" s="188">
        <v>95.33244986371946</v>
      </c>
      <c r="R44" s="187">
        <v>-806.5714658244328</v>
      </c>
      <c r="S44" s="188">
        <v>-502.9219312302675</v>
      </c>
      <c r="T44" s="207">
        <v>-637.7423747617929</v>
      </c>
      <c r="V44" s="76"/>
      <c r="W44" s="77"/>
    </row>
    <row r="45" spans="1:23" ht="12.75">
      <c r="A45" s="90">
        <v>29</v>
      </c>
      <c r="B45" s="301" t="s">
        <v>151</v>
      </c>
      <c r="C45" s="302"/>
      <c r="D45" s="302"/>
      <c r="E45" s="303">
        <v>85.78</v>
      </c>
      <c r="F45" s="302"/>
      <c r="G45" s="302"/>
      <c r="H45" s="302"/>
      <c r="I45" s="302" t="s">
        <v>33</v>
      </c>
      <c r="J45" s="304" t="s">
        <v>29</v>
      </c>
      <c r="K45" s="288"/>
      <c r="L45" s="305">
        <v>85.78</v>
      </c>
      <c r="M45" s="186">
        <v>70</v>
      </c>
      <c r="N45" s="187" t="s">
        <v>151</v>
      </c>
      <c r="O45" s="188">
        <v>80.60683301101521</v>
      </c>
      <c r="P45" s="187">
        <v>29.338487894475882</v>
      </c>
      <c r="Q45" s="188">
        <v>175.93928287473466</v>
      </c>
      <c r="R45" s="187">
        <v>-777.232977929957</v>
      </c>
      <c r="S45" s="188">
        <v>-425.17884925826365</v>
      </c>
      <c r="T45" s="207">
        <v>-673.9945692539102</v>
      </c>
      <c r="V45" s="33"/>
      <c r="W45" s="78"/>
    </row>
    <row r="46" spans="1:23" ht="12.75">
      <c r="A46" s="90">
        <v>30</v>
      </c>
      <c r="B46" s="301" t="s">
        <v>151</v>
      </c>
      <c r="C46" s="302"/>
      <c r="D46" s="302"/>
      <c r="E46" s="303">
        <v>43.18</v>
      </c>
      <c r="F46" s="302"/>
      <c r="G46" s="302"/>
      <c r="H46" s="302"/>
      <c r="I46" s="302" t="s">
        <v>34</v>
      </c>
      <c r="J46" s="304" t="s">
        <v>29</v>
      </c>
      <c r="K46" s="288"/>
      <c r="L46" s="305">
        <v>43.18</v>
      </c>
      <c r="M46" s="186">
        <v>74</v>
      </c>
      <c r="N46" s="187" t="s">
        <v>151</v>
      </c>
      <c r="O46" s="188">
        <v>41.507280030616606</v>
      </c>
      <c r="P46" s="187">
        <v>11.902021024178032</v>
      </c>
      <c r="Q46" s="188">
        <v>217.44656290535127</v>
      </c>
      <c r="R46" s="187">
        <v>-765.330956905779</v>
      </c>
      <c r="S46" s="188">
        <v>-387.41277030398453</v>
      </c>
      <c r="T46" s="207">
        <v>-694.9286486561471</v>
      </c>
      <c r="V46" s="12"/>
      <c r="W46" s="12"/>
    </row>
    <row r="47" spans="1:23" ht="12.75">
      <c r="A47" s="90">
        <v>31</v>
      </c>
      <c r="B47" s="301" t="s">
        <v>151</v>
      </c>
      <c r="C47" s="302"/>
      <c r="D47" s="302"/>
      <c r="E47" s="303">
        <v>94.08</v>
      </c>
      <c r="F47" s="302"/>
      <c r="G47" s="302"/>
      <c r="H47" s="302"/>
      <c r="I47" s="302" t="s">
        <v>35</v>
      </c>
      <c r="J47" s="304" t="s">
        <v>29</v>
      </c>
      <c r="K47" s="288"/>
      <c r="L47" s="305">
        <v>94.08</v>
      </c>
      <c r="M47" s="186">
        <v>39</v>
      </c>
      <c r="N47" s="187" t="s">
        <v>151</v>
      </c>
      <c r="O47" s="188">
        <v>59.20646238996868</v>
      </c>
      <c r="P47" s="187">
        <v>73.11389205387184</v>
      </c>
      <c r="Q47" s="188">
        <v>276.65302529531994</v>
      </c>
      <c r="R47" s="187">
        <v>-692.2170648519071</v>
      </c>
      <c r="S47" s="188">
        <v>-293.8481503877374</v>
      </c>
      <c r="T47" s="207">
        <v>-685.0946108319263</v>
      </c>
      <c r="V47" s="73"/>
      <c r="W47" s="73"/>
    </row>
    <row r="48" spans="1:23" ht="12.75">
      <c r="A48" s="90">
        <v>32</v>
      </c>
      <c r="B48" s="301" t="s">
        <v>151</v>
      </c>
      <c r="C48" s="302"/>
      <c r="D48" s="302"/>
      <c r="E48" s="303">
        <v>54.5</v>
      </c>
      <c r="F48" s="302"/>
      <c r="G48" s="302"/>
      <c r="H48" s="302"/>
      <c r="I48" s="302" t="s">
        <v>36</v>
      </c>
      <c r="J48" s="304" t="s">
        <v>29</v>
      </c>
      <c r="K48" s="288"/>
      <c r="L48" s="305">
        <v>54.5</v>
      </c>
      <c r="M48" s="186">
        <v>61</v>
      </c>
      <c r="N48" s="187" t="s">
        <v>151</v>
      </c>
      <c r="O48" s="188">
        <v>47.66677403909707</v>
      </c>
      <c r="P48" s="187">
        <v>26.422124303425377</v>
      </c>
      <c r="Q48" s="188">
        <v>324.319799334417</v>
      </c>
      <c r="R48" s="187">
        <v>-665.7949405484818</v>
      </c>
      <c r="S48" s="188">
        <v>-241.45938795909905</v>
      </c>
      <c r="T48" s="207">
        <v>-700.1168467239528</v>
      </c>
      <c r="V48" s="40"/>
      <c r="W48" s="39"/>
    </row>
    <row r="49" spans="1:23" ht="12.75">
      <c r="A49" s="90">
        <v>33</v>
      </c>
      <c r="B49" s="301" t="s">
        <v>151</v>
      </c>
      <c r="C49" s="302"/>
      <c r="D49" s="302"/>
      <c r="E49" s="303">
        <v>103.56</v>
      </c>
      <c r="F49" s="302"/>
      <c r="G49" s="302"/>
      <c r="H49" s="302"/>
      <c r="I49" s="302" t="s">
        <v>19</v>
      </c>
      <c r="J49" s="304" t="s">
        <v>29</v>
      </c>
      <c r="K49" s="288"/>
      <c r="L49" s="305">
        <v>103.56</v>
      </c>
      <c r="M49" s="186">
        <v>96</v>
      </c>
      <c r="N49" s="187" t="s">
        <v>151</v>
      </c>
      <c r="O49" s="188">
        <v>102.99268748433839</v>
      </c>
      <c r="P49" s="187">
        <v>-10.824967655998188</v>
      </c>
      <c r="Q49" s="188">
        <v>427.31248681875536</v>
      </c>
      <c r="R49" s="187">
        <v>-676.61990820448</v>
      </c>
      <c r="S49" s="188">
        <v>-176.28696826197788</v>
      </c>
      <c r="T49" s="207">
        <v>-780.5980824924367</v>
      </c>
      <c r="V49" s="33"/>
      <c r="W49" s="79"/>
    </row>
    <row r="50" spans="1:23" ht="12.75">
      <c r="A50" s="90">
        <v>34</v>
      </c>
      <c r="B50" s="301" t="s">
        <v>151</v>
      </c>
      <c r="C50" s="302"/>
      <c r="D50" s="302"/>
      <c r="E50" s="303">
        <v>34.35</v>
      </c>
      <c r="F50" s="302"/>
      <c r="G50" s="302"/>
      <c r="H50" s="302"/>
      <c r="I50" s="302" t="s">
        <v>19</v>
      </c>
      <c r="J50" s="304" t="s">
        <v>29</v>
      </c>
      <c r="K50" s="288"/>
      <c r="L50" s="305">
        <v>34.35</v>
      </c>
      <c r="M50" s="186">
        <v>96</v>
      </c>
      <c r="N50" s="187" t="s">
        <v>151</v>
      </c>
      <c r="O50" s="188">
        <v>34.16182710590019</v>
      </c>
      <c r="P50" s="187">
        <v>-3.590552713243895</v>
      </c>
      <c r="Q50" s="188">
        <v>461.4743139246556</v>
      </c>
      <c r="R50" s="187">
        <v>-680.2104609177239</v>
      </c>
      <c r="S50" s="188">
        <v>-154.66981282941595</v>
      </c>
      <c r="T50" s="207">
        <v>-807.2930462684836</v>
      </c>
      <c r="V50" s="25"/>
      <c r="W50" s="30"/>
    </row>
    <row r="51" spans="1:23" ht="12.75">
      <c r="A51" s="90">
        <v>35</v>
      </c>
      <c r="B51" s="301" t="s">
        <v>151</v>
      </c>
      <c r="C51" s="302"/>
      <c r="D51" s="302"/>
      <c r="E51" s="303">
        <v>89.4</v>
      </c>
      <c r="F51" s="302"/>
      <c r="G51" s="302"/>
      <c r="H51" s="302"/>
      <c r="I51" s="302" t="s">
        <v>36</v>
      </c>
      <c r="J51" s="304" t="s">
        <v>29</v>
      </c>
      <c r="K51" s="288"/>
      <c r="L51" s="305">
        <v>89.4</v>
      </c>
      <c r="M51" s="186">
        <v>61</v>
      </c>
      <c r="N51" s="187" t="s">
        <v>151</v>
      </c>
      <c r="O51" s="188">
        <v>78.19100181826198</v>
      </c>
      <c r="P51" s="187">
        <v>43.34198005002255</v>
      </c>
      <c r="Q51" s="188">
        <v>539.6653157429175</v>
      </c>
      <c r="R51" s="187">
        <v>-636.8684808677014</v>
      </c>
      <c r="S51" s="188">
        <v>-68.73301721253026</v>
      </c>
      <c r="T51" s="207">
        <v>-831.9350258785234</v>
      </c>
      <c r="V51" s="25"/>
      <c r="W51" s="30"/>
    </row>
    <row r="52" spans="1:23" ht="12.75">
      <c r="A52" s="90">
        <v>36</v>
      </c>
      <c r="B52" s="301" t="s">
        <v>151</v>
      </c>
      <c r="C52" s="302"/>
      <c r="D52" s="302"/>
      <c r="E52" s="303">
        <v>80.75</v>
      </c>
      <c r="F52" s="302"/>
      <c r="G52" s="302"/>
      <c r="H52" s="302"/>
      <c r="I52" s="302" t="s">
        <v>37</v>
      </c>
      <c r="J52" s="304" t="s">
        <v>29</v>
      </c>
      <c r="K52" s="288"/>
      <c r="L52" s="305">
        <v>80.75</v>
      </c>
      <c r="M52" s="186">
        <v>65</v>
      </c>
      <c r="N52" s="187" t="s">
        <v>151</v>
      </c>
      <c r="O52" s="188">
        <v>73.18435380320948</v>
      </c>
      <c r="P52" s="187">
        <v>34.12642463556149</v>
      </c>
      <c r="Q52" s="188">
        <v>612.849669546127</v>
      </c>
      <c r="R52" s="187">
        <v>-602.7420562321398</v>
      </c>
      <c r="S52" s="188">
        <v>7.1471619159318465</v>
      </c>
      <c r="T52" s="207">
        <v>-859.5531524520712</v>
      </c>
      <c r="V52" s="25"/>
      <c r="W52" s="30"/>
    </row>
    <row r="53" spans="1:23" ht="12.75">
      <c r="A53" s="90">
        <v>37</v>
      </c>
      <c r="B53" s="301" t="s">
        <v>151</v>
      </c>
      <c r="C53" s="302"/>
      <c r="D53" s="302"/>
      <c r="E53" s="303">
        <v>63.63</v>
      </c>
      <c r="F53" s="302"/>
      <c r="G53" s="302"/>
      <c r="H53" s="302"/>
      <c r="I53" s="302" t="s">
        <v>33</v>
      </c>
      <c r="J53" s="304" t="s">
        <v>29</v>
      </c>
      <c r="K53" s="288"/>
      <c r="L53" s="305">
        <v>63.63</v>
      </c>
      <c r="M53" s="186">
        <v>70</v>
      </c>
      <c r="N53" s="187" t="s">
        <v>151</v>
      </c>
      <c r="O53" s="188">
        <v>59.79264146060735</v>
      </c>
      <c r="P53" s="187">
        <v>21.762741719812315</v>
      </c>
      <c r="Q53" s="188">
        <v>672.6423110067343</v>
      </c>
      <c r="R53" s="187">
        <v>-580.9793145123275</v>
      </c>
      <c r="S53" s="188">
        <v>64.81552640507387</v>
      </c>
      <c r="T53" s="207">
        <v>-886.444352446632</v>
      </c>
      <c r="V53" s="25"/>
      <c r="W53" s="30"/>
    </row>
    <row r="54" spans="1:23" ht="12.75">
      <c r="A54" s="90">
        <v>38</v>
      </c>
      <c r="B54" s="301" t="s">
        <v>151</v>
      </c>
      <c r="C54" s="302"/>
      <c r="D54" s="302"/>
      <c r="E54" s="303">
        <v>89.41</v>
      </c>
      <c r="F54" s="302"/>
      <c r="G54" s="302"/>
      <c r="H54" s="302"/>
      <c r="I54" s="302" t="s">
        <v>34</v>
      </c>
      <c r="J54" s="304" t="s">
        <v>29</v>
      </c>
      <c r="K54" s="288"/>
      <c r="L54" s="305">
        <v>89.41</v>
      </c>
      <c r="M54" s="186">
        <v>74</v>
      </c>
      <c r="N54" s="187" t="s">
        <v>151</v>
      </c>
      <c r="O54" s="188">
        <v>85.94640823384508</v>
      </c>
      <c r="P54" s="187">
        <v>24.644735983597908</v>
      </c>
      <c r="Q54" s="188">
        <v>758.5887192405794</v>
      </c>
      <c r="R54" s="187">
        <v>-556.3345785287296</v>
      </c>
      <c r="S54" s="188">
        <v>143.01527442040725</v>
      </c>
      <c r="T54" s="207">
        <v>-929.791180592857</v>
      </c>
      <c r="V54" s="25"/>
      <c r="W54" s="30"/>
    </row>
    <row r="55" spans="1:23" ht="12.75">
      <c r="A55" s="90">
        <v>39</v>
      </c>
      <c r="B55" s="301" t="s">
        <v>151</v>
      </c>
      <c r="C55" s="302"/>
      <c r="D55" s="302"/>
      <c r="E55" s="303">
        <v>42.27</v>
      </c>
      <c r="F55" s="302"/>
      <c r="G55" s="302"/>
      <c r="H55" s="302"/>
      <c r="I55" s="302" t="s">
        <v>38</v>
      </c>
      <c r="J55" s="304" t="s">
        <v>29</v>
      </c>
      <c r="K55" s="288"/>
      <c r="L55" s="305">
        <v>42.27</v>
      </c>
      <c r="M55" s="186">
        <v>75</v>
      </c>
      <c r="N55" s="187" t="s">
        <v>151</v>
      </c>
      <c r="O55" s="188">
        <v>40.82968467723892</v>
      </c>
      <c r="P55" s="187">
        <v>10.940281036483531</v>
      </c>
      <c r="Q55" s="188">
        <v>799.4184039178183</v>
      </c>
      <c r="R55" s="187">
        <v>-545.3942974922461</v>
      </c>
      <c r="S55" s="188">
        <v>179.62216823837548</v>
      </c>
      <c r="T55" s="207">
        <v>-950.926180592857</v>
      </c>
      <c r="V55" s="25"/>
      <c r="W55" s="30"/>
    </row>
    <row r="56" spans="1:23" ht="12.75">
      <c r="A56" s="90">
        <v>40</v>
      </c>
      <c r="B56" s="301" t="s">
        <v>151</v>
      </c>
      <c r="C56" s="302"/>
      <c r="D56" s="302"/>
      <c r="E56" s="303">
        <v>80.5</v>
      </c>
      <c r="F56" s="302"/>
      <c r="G56" s="302"/>
      <c r="H56" s="302"/>
      <c r="I56" s="302" t="s">
        <v>40</v>
      </c>
      <c r="J56" s="304" t="s">
        <v>39</v>
      </c>
      <c r="K56" s="288"/>
      <c r="L56" s="305">
        <v>80.5</v>
      </c>
      <c r="M56" s="186">
        <v>349</v>
      </c>
      <c r="N56" s="187" t="s">
        <v>151</v>
      </c>
      <c r="O56" s="188">
        <v>-15.360124127811856</v>
      </c>
      <c r="P56" s="187">
        <v>79.02098826753695</v>
      </c>
      <c r="Q56" s="188">
        <v>784.0582797900064</v>
      </c>
      <c r="R56" s="187">
        <v>-466.37330922470915</v>
      </c>
      <c r="S56" s="188">
        <v>224.6371969677706</v>
      </c>
      <c r="T56" s="207">
        <v>-884.1886560021761</v>
      </c>
      <c r="V56" s="25"/>
      <c r="W56" s="30"/>
    </row>
    <row r="57" spans="1:23" ht="12.75">
      <c r="A57" s="90">
        <v>41</v>
      </c>
      <c r="B57" s="301" t="s">
        <v>151</v>
      </c>
      <c r="C57" s="302"/>
      <c r="D57" s="302"/>
      <c r="E57" s="303">
        <v>89.6</v>
      </c>
      <c r="F57" s="302"/>
      <c r="G57" s="302"/>
      <c r="H57" s="302"/>
      <c r="I57" s="302" t="s">
        <v>41</v>
      </c>
      <c r="J57" s="304" t="s">
        <v>39</v>
      </c>
      <c r="K57" s="288"/>
      <c r="L57" s="305">
        <v>89.6</v>
      </c>
      <c r="M57" s="186">
        <v>318</v>
      </c>
      <c r="N57" s="187" t="s">
        <v>151</v>
      </c>
      <c r="O57" s="188">
        <v>-59.954102329753695</v>
      </c>
      <c r="P57" s="187">
        <v>66.58577636277452</v>
      </c>
      <c r="Q57" s="188">
        <v>724.1041774602527</v>
      </c>
      <c r="R57" s="187">
        <v>-399.7875328619346</v>
      </c>
      <c r="S57" s="188">
        <v>229.32649864713838</v>
      </c>
      <c r="T57" s="207">
        <v>-794.7114496881663</v>
      </c>
      <c r="V57" s="25"/>
      <c r="W57" s="30"/>
    </row>
    <row r="58" spans="1:23" ht="12.75">
      <c r="A58" s="90">
        <v>42</v>
      </c>
      <c r="B58" s="301" t="s">
        <v>151</v>
      </c>
      <c r="C58" s="302"/>
      <c r="D58" s="302"/>
      <c r="E58" s="303">
        <v>214.6</v>
      </c>
      <c r="F58" s="302"/>
      <c r="G58" s="302"/>
      <c r="H58" s="302"/>
      <c r="I58" s="302" t="s">
        <v>42</v>
      </c>
      <c r="J58" s="304" t="s">
        <v>39</v>
      </c>
      <c r="K58" s="306"/>
      <c r="L58" s="305">
        <v>214.6</v>
      </c>
      <c r="M58" s="186">
        <v>308</v>
      </c>
      <c r="N58" s="187" t="s">
        <v>151</v>
      </c>
      <c r="O58" s="188">
        <v>-169.1071077240025</v>
      </c>
      <c r="P58" s="187">
        <v>132.1209526048863</v>
      </c>
      <c r="Q58" s="188">
        <v>554.9970697362502</v>
      </c>
      <c r="R58" s="187">
        <v>-267.6665802570483</v>
      </c>
      <c r="S58" s="188">
        <v>203.17333755239375</v>
      </c>
      <c r="T58" s="207">
        <v>-581.7110455459386</v>
      </c>
      <c r="V58" s="25"/>
      <c r="W58" s="30"/>
    </row>
    <row r="59" spans="1:23" ht="12.75">
      <c r="A59" s="90">
        <v>43</v>
      </c>
      <c r="B59" s="301" t="s">
        <v>151</v>
      </c>
      <c r="C59" s="302"/>
      <c r="D59" s="302"/>
      <c r="E59" s="303">
        <v>265.9</v>
      </c>
      <c r="F59" s="302"/>
      <c r="G59" s="302"/>
      <c r="H59" s="302"/>
      <c r="I59" s="302" t="s">
        <v>43</v>
      </c>
      <c r="J59" s="304" t="s">
        <v>39</v>
      </c>
      <c r="K59" s="288"/>
      <c r="L59" s="305">
        <v>265.9</v>
      </c>
      <c r="M59" s="186">
        <v>325</v>
      </c>
      <c r="N59" s="187" t="s">
        <v>151</v>
      </c>
      <c r="O59" s="188">
        <v>-152.51397442574307</v>
      </c>
      <c r="P59" s="187">
        <v>217.81252857644296</v>
      </c>
      <c r="Q59" s="188">
        <v>402.4830953105071</v>
      </c>
      <c r="R59" s="187">
        <v>-49.85405168060532</v>
      </c>
      <c r="S59" s="188">
        <v>249.34638799403055</v>
      </c>
      <c r="T59" s="207">
        <v>-319.85066401999256</v>
      </c>
      <c r="V59" s="25"/>
      <c r="W59" s="30"/>
    </row>
    <row r="60" spans="1:22" ht="12.75">
      <c r="A60" s="90">
        <v>44</v>
      </c>
      <c r="B60" s="301" t="s">
        <v>151</v>
      </c>
      <c r="C60" s="302"/>
      <c r="D60" s="302"/>
      <c r="E60" s="303">
        <v>194.1</v>
      </c>
      <c r="F60" s="302"/>
      <c r="G60" s="302"/>
      <c r="H60" s="302"/>
      <c r="I60" s="302" t="s">
        <v>44</v>
      </c>
      <c r="J60" s="304" t="s">
        <v>39</v>
      </c>
      <c r="K60" s="288"/>
      <c r="L60" s="305">
        <v>194.1</v>
      </c>
      <c r="M60" s="186">
        <v>288</v>
      </c>
      <c r="N60" s="187" t="s">
        <v>151</v>
      </c>
      <c r="O60" s="188">
        <v>-184.6000698128893</v>
      </c>
      <c r="P60" s="187">
        <v>59.98019860817731</v>
      </c>
      <c r="Q60" s="188">
        <v>217.8830254976178</v>
      </c>
      <c r="R60" s="187">
        <v>10.126146927571988</v>
      </c>
      <c r="S60" s="188">
        <v>161.22683199458453</v>
      </c>
      <c r="T60" s="207">
        <v>-146.90629767503037</v>
      </c>
      <c r="V60" s="1"/>
    </row>
    <row r="61" spans="1:22" ht="12.75">
      <c r="A61" s="90">
        <v>45</v>
      </c>
      <c r="B61" s="301" t="s">
        <v>151</v>
      </c>
      <c r="C61" s="302"/>
      <c r="D61" s="302"/>
      <c r="E61" s="303">
        <v>72.3</v>
      </c>
      <c r="F61" s="302"/>
      <c r="G61" s="302"/>
      <c r="H61" s="302"/>
      <c r="I61" s="302" t="s">
        <v>45</v>
      </c>
      <c r="J61" s="304" t="s">
        <v>39</v>
      </c>
      <c r="K61" s="288"/>
      <c r="L61" s="305">
        <v>72.3</v>
      </c>
      <c r="M61" s="186">
        <v>265</v>
      </c>
      <c r="N61" s="187" t="s">
        <v>151</v>
      </c>
      <c r="O61" s="188">
        <v>-72.0248766720332</v>
      </c>
      <c r="P61" s="187">
        <v>-6.301360200655669</v>
      </c>
      <c r="Q61" s="188">
        <v>145.8581488255846</v>
      </c>
      <c r="R61" s="187">
        <v>3.8247867269163187</v>
      </c>
      <c r="S61" s="188">
        <v>105.84181875708242</v>
      </c>
      <c r="T61" s="207">
        <v>-100.43275349469357</v>
      </c>
      <c r="V61" s="1"/>
    </row>
    <row r="62" spans="1:22" ht="12.75">
      <c r="A62" s="90">
        <v>46</v>
      </c>
      <c r="B62" s="301" t="s">
        <v>151</v>
      </c>
      <c r="C62" s="302"/>
      <c r="D62" s="302"/>
      <c r="E62" s="303">
        <v>114.2</v>
      </c>
      <c r="F62" s="302"/>
      <c r="G62" s="302"/>
      <c r="H62" s="302"/>
      <c r="I62" s="302" t="s">
        <v>120</v>
      </c>
      <c r="J62" s="304" t="s">
        <v>39</v>
      </c>
      <c r="K62" s="288"/>
      <c r="L62" s="305">
        <v>114.2</v>
      </c>
      <c r="M62" s="186">
        <v>258</v>
      </c>
      <c r="N62" s="187" t="s">
        <v>151</v>
      </c>
      <c r="O62" s="188">
        <v>-111.70445600380062</v>
      </c>
      <c r="P62" s="187">
        <v>-23.743515091388087</v>
      </c>
      <c r="Q62" s="188">
        <v>34.15369282178399</v>
      </c>
      <c r="R62" s="187">
        <v>-19.918728364471768</v>
      </c>
      <c r="S62" s="188">
        <v>10.065639897714973</v>
      </c>
      <c r="T62" s="207">
        <v>-38.23497569597749</v>
      </c>
      <c r="V62" s="1"/>
    </row>
    <row r="63" spans="1:22" ht="12.75">
      <c r="A63" s="90">
        <v>47</v>
      </c>
      <c r="B63" s="301" t="s">
        <v>151</v>
      </c>
      <c r="C63" s="302"/>
      <c r="D63" s="302"/>
      <c r="E63" s="303">
        <v>55.5</v>
      </c>
      <c r="F63" s="302"/>
      <c r="G63" s="302"/>
      <c r="H63" s="302"/>
      <c r="I63" s="302" t="s">
        <v>46</v>
      </c>
      <c r="J63" s="304" t="s">
        <v>39</v>
      </c>
      <c r="K63" s="288"/>
      <c r="L63" s="305">
        <v>55.5</v>
      </c>
      <c r="M63" s="186">
        <v>282</v>
      </c>
      <c r="N63" s="187" t="s">
        <v>151</v>
      </c>
      <c r="O63" s="188">
        <v>-54.287191840726216</v>
      </c>
      <c r="P63" s="187">
        <v>11.539098840385641</v>
      </c>
      <c r="Q63" s="188">
        <v>-20.133499018942224</v>
      </c>
      <c r="R63" s="187">
        <v>-8.379629524086127</v>
      </c>
      <c r="S63" s="188">
        <v>-20.16182654561903</v>
      </c>
      <c r="T63" s="207">
        <v>8.31124082499354</v>
      </c>
      <c r="V63" s="1"/>
    </row>
    <row r="64" spans="1:22" ht="12.75">
      <c r="A64" s="90">
        <v>48</v>
      </c>
      <c r="B64" s="301" t="s">
        <v>151</v>
      </c>
      <c r="C64" s="302"/>
      <c r="D64" s="302"/>
      <c r="E64" s="303"/>
      <c r="F64" s="302"/>
      <c r="G64" s="302"/>
      <c r="H64" s="302"/>
      <c r="I64" s="302"/>
      <c r="J64" s="304"/>
      <c r="K64" s="288"/>
      <c r="L64" s="305" t="s">
        <v>151</v>
      </c>
      <c r="M64" s="186" t="s">
        <v>151</v>
      </c>
      <c r="N64" s="187" t="s">
        <v>151</v>
      </c>
      <c r="O64" s="188" t="s">
        <v>151</v>
      </c>
      <c r="P64" s="187" t="s">
        <v>151</v>
      </c>
      <c r="Q64" s="188" t="s">
        <v>151</v>
      </c>
      <c r="R64" s="187" t="s">
        <v>151</v>
      </c>
      <c r="S64" s="188" t="s">
        <v>151</v>
      </c>
      <c r="T64" s="207" t="s">
        <v>151</v>
      </c>
      <c r="V64" s="1"/>
    </row>
    <row r="65" spans="1:22" ht="12.75">
      <c r="A65" s="90">
        <v>49</v>
      </c>
      <c r="B65" s="301" t="s">
        <v>151</v>
      </c>
      <c r="C65" s="302"/>
      <c r="D65" s="302"/>
      <c r="E65" s="303"/>
      <c r="F65" s="302"/>
      <c r="G65" s="302"/>
      <c r="H65" s="302"/>
      <c r="I65" s="302"/>
      <c r="J65" s="304"/>
      <c r="K65" s="288"/>
      <c r="L65" s="305" t="s">
        <v>151</v>
      </c>
      <c r="M65" s="186" t="s">
        <v>151</v>
      </c>
      <c r="N65" s="187" t="s">
        <v>151</v>
      </c>
      <c r="O65" s="188" t="s">
        <v>151</v>
      </c>
      <c r="P65" s="187" t="s">
        <v>151</v>
      </c>
      <c r="Q65" s="188" t="s">
        <v>151</v>
      </c>
      <c r="R65" s="187" t="s">
        <v>151</v>
      </c>
      <c r="S65" s="188" t="s">
        <v>151</v>
      </c>
      <c r="T65" s="207" t="s">
        <v>151</v>
      </c>
      <c r="V65" s="1"/>
    </row>
    <row r="66" spans="1:22" ht="12.75">
      <c r="A66" s="90">
        <v>50</v>
      </c>
      <c r="B66" s="301" t="s">
        <v>151</v>
      </c>
      <c r="C66" s="302"/>
      <c r="D66" s="302"/>
      <c r="E66" s="303"/>
      <c r="F66" s="302"/>
      <c r="G66" s="302"/>
      <c r="H66" s="302"/>
      <c r="I66" s="302"/>
      <c r="J66" s="304"/>
      <c r="K66" s="288"/>
      <c r="L66" s="305" t="s">
        <v>151</v>
      </c>
      <c r="M66" s="186" t="s">
        <v>151</v>
      </c>
      <c r="N66" s="187" t="s">
        <v>151</v>
      </c>
      <c r="O66" s="188" t="s">
        <v>151</v>
      </c>
      <c r="P66" s="187" t="s">
        <v>151</v>
      </c>
      <c r="Q66" s="188" t="s">
        <v>151</v>
      </c>
      <c r="R66" s="187" t="s">
        <v>151</v>
      </c>
      <c r="S66" s="188" t="s">
        <v>151</v>
      </c>
      <c r="T66" s="207" t="s">
        <v>151</v>
      </c>
      <c r="V66" s="1"/>
    </row>
    <row r="67" spans="1:22" ht="12.75">
      <c r="A67" s="90">
        <v>51</v>
      </c>
      <c r="B67" s="301" t="s">
        <v>151</v>
      </c>
      <c r="C67" s="302"/>
      <c r="D67" s="302"/>
      <c r="E67" s="303"/>
      <c r="F67" s="302"/>
      <c r="G67" s="302"/>
      <c r="H67" s="302"/>
      <c r="I67" s="302"/>
      <c r="J67" s="304"/>
      <c r="K67" s="288"/>
      <c r="L67" s="305" t="s">
        <v>151</v>
      </c>
      <c r="M67" s="186" t="s">
        <v>151</v>
      </c>
      <c r="N67" s="187" t="s">
        <v>151</v>
      </c>
      <c r="O67" s="188" t="s">
        <v>151</v>
      </c>
      <c r="P67" s="187" t="s">
        <v>151</v>
      </c>
      <c r="Q67" s="188" t="s">
        <v>151</v>
      </c>
      <c r="R67" s="187" t="s">
        <v>151</v>
      </c>
      <c r="S67" s="188" t="s">
        <v>151</v>
      </c>
      <c r="T67" s="207" t="s">
        <v>151</v>
      </c>
      <c r="V67" s="1"/>
    </row>
    <row r="68" spans="1:22" ht="12.75">
      <c r="A68" s="90">
        <v>52</v>
      </c>
      <c r="B68" s="301" t="s">
        <v>151</v>
      </c>
      <c r="C68" s="302"/>
      <c r="D68" s="302"/>
      <c r="E68" s="303"/>
      <c r="F68" s="302"/>
      <c r="G68" s="302"/>
      <c r="H68" s="302"/>
      <c r="I68" s="302"/>
      <c r="J68" s="304"/>
      <c r="K68" s="288"/>
      <c r="L68" s="305" t="s">
        <v>151</v>
      </c>
      <c r="M68" s="186" t="s">
        <v>151</v>
      </c>
      <c r="N68" s="187" t="s">
        <v>151</v>
      </c>
      <c r="O68" s="188" t="s">
        <v>151</v>
      </c>
      <c r="P68" s="187" t="s">
        <v>151</v>
      </c>
      <c r="Q68" s="188" t="s">
        <v>151</v>
      </c>
      <c r="R68" s="187" t="s">
        <v>151</v>
      </c>
      <c r="S68" s="188" t="s">
        <v>151</v>
      </c>
      <c r="T68" s="207" t="s">
        <v>151</v>
      </c>
      <c r="V68" s="1"/>
    </row>
    <row r="69" spans="1:22" ht="12.75">
      <c r="A69" s="90">
        <v>53</v>
      </c>
      <c r="B69" s="301" t="s">
        <v>151</v>
      </c>
      <c r="C69" s="302"/>
      <c r="D69" s="302"/>
      <c r="E69" s="303"/>
      <c r="F69" s="302"/>
      <c r="G69" s="302"/>
      <c r="H69" s="302"/>
      <c r="I69" s="302"/>
      <c r="J69" s="304"/>
      <c r="K69" s="288"/>
      <c r="L69" s="305" t="s">
        <v>151</v>
      </c>
      <c r="M69" s="186" t="s">
        <v>151</v>
      </c>
      <c r="N69" s="187" t="s">
        <v>151</v>
      </c>
      <c r="O69" s="188" t="s">
        <v>151</v>
      </c>
      <c r="P69" s="187" t="s">
        <v>151</v>
      </c>
      <c r="Q69" s="188" t="s">
        <v>151</v>
      </c>
      <c r="R69" s="187" t="s">
        <v>151</v>
      </c>
      <c r="S69" s="188" t="s">
        <v>151</v>
      </c>
      <c r="T69" s="207" t="s">
        <v>151</v>
      </c>
      <c r="V69" s="1"/>
    </row>
    <row r="70" spans="1:22" ht="12.75">
      <c r="A70" s="90">
        <v>54</v>
      </c>
      <c r="B70" s="301" t="s">
        <v>151</v>
      </c>
      <c r="C70" s="302"/>
      <c r="D70" s="302"/>
      <c r="E70" s="303"/>
      <c r="F70" s="302"/>
      <c r="G70" s="302"/>
      <c r="H70" s="302"/>
      <c r="I70" s="302"/>
      <c r="J70" s="304"/>
      <c r="K70" s="288"/>
      <c r="L70" s="305" t="s">
        <v>151</v>
      </c>
      <c r="M70" s="186" t="s">
        <v>151</v>
      </c>
      <c r="N70" s="187" t="s">
        <v>151</v>
      </c>
      <c r="O70" s="188" t="s">
        <v>151</v>
      </c>
      <c r="P70" s="187" t="s">
        <v>151</v>
      </c>
      <c r="Q70" s="188" t="s">
        <v>151</v>
      </c>
      <c r="R70" s="187" t="s">
        <v>151</v>
      </c>
      <c r="S70" s="188" t="s">
        <v>151</v>
      </c>
      <c r="T70" s="207" t="s">
        <v>151</v>
      </c>
      <c r="V70" s="1"/>
    </row>
    <row r="71" spans="1:22" ht="12.75">
      <c r="A71" s="90">
        <v>55</v>
      </c>
      <c r="B71" s="301" t="s">
        <v>151</v>
      </c>
      <c r="C71" s="302"/>
      <c r="D71" s="302"/>
      <c r="E71" s="303"/>
      <c r="F71" s="302"/>
      <c r="G71" s="302"/>
      <c r="H71" s="302"/>
      <c r="I71" s="302"/>
      <c r="J71" s="304"/>
      <c r="K71" s="288"/>
      <c r="L71" s="305" t="s">
        <v>151</v>
      </c>
      <c r="M71" s="186" t="s">
        <v>151</v>
      </c>
      <c r="N71" s="187" t="s">
        <v>151</v>
      </c>
      <c r="O71" s="188" t="s">
        <v>151</v>
      </c>
      <c r="P71" s="187" t="s">
        <v>151</v>
      </c>
      <c r="Q71" s="188" t="s">
        <v>151</v>
      </c>
      <c r="R71" s="187" t="s">
        <v>151</v>
      </c>
      <c r="S71" s="188" t="s">
        <v>151</v>
      </c>
      <c r="T71" s="207" t="s">
        <v>151</v>
      </c>
      <c r="V71" s="1"/>
    </row>
    <row r="72" spans="1:22" ht="12.75">
      <c r="A72" s="90">
        <v>56</v>
      </c>
      <c r="B72" s="301" t="s">
        <v>151</v>
      </c>
      <c r="C72" s="302"/>
      <c r="D72" s="302"/>
      <c r="E72" s="303"/>
      <c r="F72" s="302"/>
      <c r="G72" s="302"/>
      <c r="H72" s="302"/>
      <c r="I72" s="302"/>
      <c r="J72" s="304"/>
      <c r="K72" s="288"/>
      <c r="L72" s="305" t="s">
        <v>151</v>
      </c>
      <c r="M72" s="186" t="s">
        <v>151</v>
      </c>
      <c r="N72" s="187" t="s">
        <v>151</v>
      </c>
      <c r="O72" s="188" t="s">
        <v>151</v>
      </c>
      <c r="P72" s="187" t="s">
        <v>151</v>
      </c>
      <c r="Q72" s="188" t="s">
        <v>151</v>
      </c>
      <c r="R72" s="187" t="s">
        <v>151</v>
      </c>
      <c r="S72" s="188" t="s">
        <v>151</v>
      </c>
      <c r="T72" s="207" t="s">
        <v>151</v>
      </c>
      <c r="V72" s="1"/>
    </row>
    <row r="73" spans="1:22" ht="12.75">
      <c r="A73" s="90">
        <v>57</v>
      </c>
      <c r="B73" s="301" t="s">
        <v>151</v>
      </c>
      <c r="C73" s="302"/>
      <c r="D73" s="302"/>
      <c r="E73" s="303"/>
      <c r="F73" s="302"/>
      <c r="G73" s="302"/>
      <c r="H73" s="302"/>
      <c r="I73" s="302"/>
      <c r="J73" s="304"/>
      <c r="K73" s="288"/>
      <c r="L73" s="305" t="s">
        <v>151</v>
      </c>
      <c r="M73" s="186" t="s">
        <v>151</v>
      </c>
      <c r="N73" s="187" t="s">
        <v>151</v>
      </c>
      <c r="O73" s="188" t="s">
        <v>151</v>
      </c>
      <c r="P73" s="187" t="s">
        <v>151</v>
      </c>
      <c r="Q73" s="188" t="s">
        <v>151</v>
      </c>
      <c r="R73" s="187" t="s">
        <v>151</v>
      </c>
      <c r="S73" s="188" t="s">
        <v>151</v>
      </c>
      <c r="T73" s="207" t="s">
        <v>151</v>
      </c>
      <c r="V73" s="1"/>
    </row>
    <row r="74" spans="1:22" ht="12.75">
      <c r="A74" s="90">
        <v>58</v>
      </c>
      <c r="B74" s="301" t="s">
        <v>151</v>
      </c>
      <c r="C74" s="302"/>
      <c r="D74" s="302"/>
      <c r="E74" s="303"/>
      <c r="F74" s="302"/>
      <c r="G74" s="302"/>
      <c r="H74" s="302"/>
      <c r="I74" s="302"/>
      <c r="J74" s="304"/>
      <c r="K74" s="288"/>
      <c r="L74" s="305" t="s">
        <v>151</v>
      </c>
      <c r="M74" s="186" t="s">
        <v>151</v>
      </c>
      <c r="N74" s="187" t="s">
        <v>151</v>
      </c>
      <c r="O74" s="188" t="s">
        <v>151</v>
      </c>
      <c r="P74" s="187" t="s">
        <v>151</v>
      </c>
      <c r="Q74" s="188" t="s">
        <v>151</v>
      </c>
      <c r="R74" s="187" t="s">
        <v>151</v>
      </c>
      <c r="S74" s="188" t="s">
        <v>151</v>
      </c>
      <c r="T74" s="207" t="s">
        <v>151</v>
      </c>
      <c r="V74" s="1"/>
    </row>
    <row r="75" spans="1:22" ht="12.75">
      <c r="A75" s="90">
        <v>59</v>
      </c>
      <c r="B75" s="301" t="s">
        <v>151</v>
      </c>
      <c r="C75" s="302"/>
      <c r="D75" s="302"/>
      <c r="E75" s="303"/>
      <c r="F75" s="302"/>
      <c r="G75" s="302"/>
      <c r="H75" s="302"/>
      <c r="I75" s="302"/>
      <c r="J75" s="304"/>
      <c r="K75" s="288"/>
      <c r="L75" s="305" t="s">
        <v>151</v>
      </c>
      <c r="M75" s="186" t="s">
        <v>151</v>
      </c>
      <c r="N75" s="187" t="s">
        <v>151</v>
      </c>
      <c r="O75" s="188" t="s">
        <v>151</v>
      </c>
      <c r="P75" s="187" t="s">
        <v>151</v>
      </c>
      <c r="Q75" s="188" t="s">
        <v>151</v>
      </c>
      <c r="R75" s="187" t="s">
        <v>151</v>
      </c>
      <c r="S75" s="188" t="s">
        <v>151</v>
      </c>
      <c r="T75" s="207" t="s">
        <v>151</v>
      </c>
      <c r="V75" s="1"/>
    </row>
    <row r="76" spans="1:22" ht="12.75">
      <c r="A76" s="90">
        <v>60</v>
      </c>
      <c r="B76" s="301" t="s">
        <v>151</v>
      </c>
      <c r="C76" s="302"/>
      <c r="D76" s="302"/>
      <c r="E76" s="303"/>
      <c r="F76" s="302"/>
      <c r="G76" s="302"/>
      <c r="H76" s="302"/>
      <c r="I76" s="302"/>
      <c r="J76" s="304"/>
      <c r="K76" s="288"/>
      <c r="L76" s="305" t="s">
        <v>151</v>
      </c>
      <c r="M76" s="186" t="s">
        <v>151</v>
      </c>
      <c r="N76" s="187" t="s">
        <v>151</v>
      </c>
      <c r="O76" s="188" t="s">
        <v>151</v>
      </c>
      <c r="P76" s="187" t="s">
        <v>151</v>
      </c>
      <c r="Q76" s="188" t="s">
        <v>151</v>
      </c>
      <c r="R76" s="187" t="s">
        <v>151</v>
      </c>
      <c r="S76" s="188" t="s">
        <v>151</v>
      </c>
      <c r="T76" s="207" t="s">
        <v>151</v>
      </c>
      <c r="V76" s="1"/>
    </row>
    <row r="77" spans="1:22" ht="12.75">
      <c r="A77" s="90">
        <v>61</v>
      </c>
      <c r="B77" s="301" t="s">
        <v>151</v>
      </c>
      <c r="C77" s="302"/>
      <c r="D77" s="302"/>
      <c r="E77" s="303"/>
      <c r="F77" s="302"/>
      <c r="G77" s="302"/>
      <c r="H77" s="302"/>
      <c r="I77" s="302"/>
      <c r="J77" s="304"/>
      <c r="K77" s="288"/>
      <c r="L77" s="305">
        <f>IF(OR(B77&lt;&gt;"",L76=""),"",IF(AND(ISNUMBER(C77),ISNUMBER(D77)),SQRT((C77-Q76)^2+(D77-R76)^2),IF(AND(AND(ISNUMBER(E77),OR(H77&lt;&gt;"",I77&lt;&gt;"")),L76&lt;&gt;""),E77,IF(AND(AND(AND(F77&lt;&gt;"",G77&lt;&gt;""),OR(H77&lt;&gt;"",I77&lt;&gt;"")),L76&lt;&gt;""),(F77*COS(ATAN(G77/100))),""))))</f>
      </c>
      <c r="M77" s="186">
        <f>IF(OR(L77="",COUNTBLANK(H77:I77)=2),"",IF(ISNUMBER(H77),H77,IF(AND(LEFT(I77,1)="S",RIGHT(I77,1)="E"),180-MID(I77,2,LEN(I77)-2),IF(AND(LEFT(I77,1)="S",RIGHT(I77,1)="W"),180+MID(I77,2,LEN(I77)-2),IF(AND(LEFT(I77,1)="N",RIGHT(I77,1)="W"),360-MID(I77,2,LEN(I77)-2),VALUE(MID(I77,2,LEN(I77)-2)))))))</f>
      </c>
      <c r="N77" s="187">
        <f>IF(OR(L77="",ISNUMBER(M77)),"",IF(OR(AND($O77&gt;0,$P77&gt;0),AND($O77&gt;0,$P77&lt;0)),(90-ATAN($P77/$O77)*180/PI())-(360*(INT((90-ATAN($P77/$O77)*180/PI())/360))),(IF(OR(AND($O77&lt;0,$P77&gt;0),AND($O77&lt;0,$P77&lt;0)),(180-ATAN($P77/$O77)*180/PI()+90)-(360*(INT((180-ATAN($P77/$O77)*180/PI()+90)/360))),IF($O77=0,90-90*SIGN($P77),IF($P77=0,180-90*SIGN($O77),"Error"))))))</f>
      </c>
      <c r="O77" s="188">
        <f>IF(L77="","",IF(AND(ISNUMBER(C77),ISNUMBER(D77)),Q77-Q76,IF(OR(ISERROR($L77*COS((360-$M77+90)*PI()/180)),O76=""),"",($L77*COS(((360-$M77)+90)*PI()/180)))))</f>
      </c>
      <c r="P77" s="187">
        <f>IF(L77="","",IF(AND(ISNUMBER(C77),ISNUMBER(D77)),R77-R76,IF(OR(ISERROR($L77*SIN(((360-$B$6)-$M77+90)*PI()/180)),P76=""),"",($L77*SIN(((360-$M77)+90)*PI()/180)))))</f>
      </c>
      <c r="Q77" s="188">
        <f>IF(L77="","",IF(AND(ISNUMBER(C77),ISNUMBER(D77)),C77,IF(ISERROR(Q76+O77),"",(Q76+O77))))</f>
      </c>
      <c r="R77" s="187">
        <f>IF(L77="","",IF(AND(ISNUMBER(C77),ISNUMBER(D77)),D77,IF(ISERROR(R76+P77),"",(R76+P77))))</f>
      </c>
      <c r="S77" s="188">
        <f>IF($L77="","",IF(ISNUMBER($M77),IF(OR(ISERROR($S76+$L77*COS(((360-$B$6)-$M77+90)*PI()/180)),S76=""),"",($S76+$L77*COS(((360-$B$6)-$M77+90)*PI()/180))),IF(ISNUMBER($N77),IF(OR(ISERROR($S76+$L77*COS(((360-$B$6)-$N77+90)*PI()/180)),S76=""),"",($S76+$L77*COS(((360-$B$6)-$N77+90)*PI()/180))))))</f>
      </c>
      <c r="T77" s="207">
        <f>IF($L77="","",IF(ISNUMBER($M77),IF(OR(ISERROR($T76+$L77*SIN(((360-$B$6)-$M77+90)*PI()/180)),T76=""),"",($T76+$L77*SIN(((360-$B$6)-$M77+90)*PI()/180))),IF(ISNUMBER($N77),IF(OR(ISERROR($T76+$L77*SIN(((360-$B$6)-$N77+90)*PI()/180)),T76=""),"",($T76+$L77*SIN(((360-$B$6)-$N77+90)*PI()/180))))))</f>
      </c>
      <c r="V77" s="1"/>
    </row>
    <row r="78" spans="1:22" ht="12.75">
      <c r="A78" s="90">
        <v>62</v>
      </c>
      <c r="B78" s="301" t="s">
        <v>151</v>
      </c>
      <c r="C78" s="302"/>
      <c r="D78" s="302"/>
      <c r="E78" s="303"/>
      <c r="F78" s="302"/>
      <c r="G78" s="302"/>
      <c r="H78" s="302"/>
      <c r="I78" s="302"/>
      <c r="J78" s="304"/>
      <c r="K78" s="288"/>
      <c r="L78" s="305">
        <f>IF(OR(B78&lt;&gt;"",L77=""),"",IF(AND(ISNUMBER(C78),ISNUMBER(D78)),SQRT((C78-Q77)^2+(D78-R77)^2),IF(AND(AND(ISNUMBER(E78),OR(H78&lt;&gt;"",I78&lt;&gt;"")),L77&lt;&gt;""),E78,IF(AND(AND(AND(F78&lt;&gt;"",G78&lt;&gt;""),OR(H78&lt;&gt;"",I78&lt;&gt;"")),L77&lt;&gt;""),(F78*COS(ATAN(G78/100))),""))))</f>
      </c>
      <c r="M78" s="186">
        <f>IF(OR(L78="",COUNTBLANK(H78:I78)=2),"",IF(ISNUMBER(H78),H78,IF(AND(LEFT(I78,1)="S",RIGHT(I78,1)="E"),180-MID(I78,2,LEN(I78)-2),IF(AND(LEFT(I78,1)="S",RIGHT(I78,1)="W"),180+MID(I78,2,LEN(I78)-2),IF(AND(LEFT(I78,1)="N",RIGHT(I78,1)="W"),360-MID(I78,2,LEN(I78)-2),VALUE(MID(I78,2,LEN(I78)-2)))))))</f>
      </c>
      <c r="N78" s="187">
        <f>IF(OR(L78="",ISNUMBER(M78)),"",IF(OR(AND($O78&gt;0,$P78&gt;0),AND($O78&gt;0,$P78&lt;0)),(90-ATAN($P78/$O78)*180/PI())-(360*(INT((90-ATAN($P78/$O78)*180/PI())/360))),(IF(OR(AND($O78&lt;0,$P78&gt;0),AND($O78&lt;0,$P78&lt;0)),(180-ATAN($P78/$O78)*180/PI()+90)-(360*(INT((180-ATAN($P78/$O78)*180/PI()+90)/360))),IF($O78=0,90-90*SIGN($P78),IF($P78=0,180-90*SIGN($O78),"Error"))))))</f>
      </c>
      <c r="O78" s="188">
        <f>IF(L78="","",IF(AND(ISNUMBER(C78),ISNUMBER(D78)),Q78-Q77,IF(OR(ISERROR($L78*COS((360-$M78+90)*PI()/180)),O77=""),"",($L78*COS(((360-$M78)+90)*PI()/180)))))</f>
      </c>
      <c r="P78" s="187">
        <f>IF(L78="","",IF(AND(ISNUMBER(C78),ISNUMBER(D78)),R78-R77,IF(OR(ISERROR($L78*SIN(((360-$B$6)-$M78+90)*PI()/180)),P77=""),"",($L78*SIN(((360-$M78)+90)*PI()/180)))))</f>
      </c>
      <c r="Q78" s="188">
        <f>IF(L78="","",IF(AND(ISNUMBER(C78),ISNUMBER(D78)),C78,IF(ISERROR(Q77+O78),"",(Q77+O78))))</f>
      </c>
      <c r="R78" s="187">
        <f>IF(L78="","",IF(AND(ISNUMBER(C78),ISNUMBER(D78)),D78,IF(ISERROR(R77+P78),"",(R77+P78))))</f>
      </c>
      <c r="S78" s="188">
        <f>IF($L78="","",IF(ISNUMBER($M78),IF(OR(ISERROR($S77+$L78*COS(((360-$B$6)-$M78+90)*PI()/180)),S77=""),"",($S77+$L78*COS(((360-$B$6)-$M78+90)*PI()/180))),IF(ISNUMBER($N78),IF(OR(ISERROR($S77+$L78*COS(((360-$B$6)-$N78+90)*PI()/180)),S77=""),"",($S77+$L78*COS(((360-$B$6)-$N78+90)*PI()/180))))))</f>
      </c>
      <c r="T78" s="207">
        <f>IF($L78="","",IF(ISNUMBER($M78),IF(OR(ISERROR($T77+$L78*SIN(((360-$B$6)-$M78+90)*PI()/180)),T77=""),"",($T77+$L78*SIN(((360-$B$6)-$M78+90)*PI()/180))),IF(ISNUMBER($N78),IF(OR(ISERROR($T77+$L78*SIN(((360-$B$6)-$N78+90)*PI()/180)),T77=""),"",($T77+$L78*SIN(((360-$B$6)-$N78+90)*PI()/180))))))</f>
      </c>
      <c r="V78" s="1"/>
    </row>
    <row r="79" spans="1:22" ht="12.75">
      <c r="A79" s="90">
        <v>63</v>
      </c>
      <c r="B79" s="301" t="s">
        <v>151</v>
      </c>
      <c r="C79" s="302"/>
      <c r="D79" s="302"/>
      <c r="E79" s="303"/>
      <c r="F79" s="302"/>
      <c r="G79" s="302"/>
      <c r="H79" s="302"/>
      <c r="I79" s="302"/>
      <c r="J79" s="304"/>
      <c r="K79" s="288"/>
      <c r="L79" s="305">
        <f>IF(OR(B79&lt;&gt;"",L78=""),"",IF(AND(ISNUMBER(C79),ISNUMBER(D79)),SQRT((C79-Q78)^2+(D79-R78)^2),IF(AND(AND(ISNUMBER(E79),OR(H79&lt;&gt;"",I79&lt;&gt;"")),L78&lt;&gt;""),E79,IF(AND(AND(AND(F79&lt;&gt;"",G79&lt;&gt;""),OR(H79&lt;&gt;"",I79&lt;&gt;"")),L78&lt;&gt;""),(F79*COS(ATAN(G79/100))),""))))</f>
      </c>
      <c r="M79" s="186">
        <f>IF(OR(L79="",COUNTBLANK(H79:I79)=2),"",IF(ISNUMBER(H79),H79,IF(AND(LEFT(I79,1)="S",RIGHT(I79,1)="E"),180-MID(I79,2,LEN(I79)-2),IF(AND(LEFT(I79,1)="S",RIGHT(I79,1)="W"),180+MID(I79,2,LEN(I79)-2),IF(AND(LEFT(I79,1)="N",RIGHT(I79,1)="W"),360-MID(I79,2,LEN(I79)-2),VALUE(MID(I79,2,LEN(I79)-2)))))))</f>
      </c>
      <c r="N79" s="187">
        <f>IF(OR(L79="",ISNUMBER(M79)),"",IF(OR(AND($O79&gt;0,$P79&gt;0),AND($O79&gt;0,$P79&lt;0)),(90-ATAN($P79/$O79)*180/PI())-(360*(INT((90-ATAN($P79/$O79)*180/PI())/360))),(IF(OR(AND($O79&lt;0,$P79&gt;0),AND($O79&lt;0,$P79&lt;0)),(180-ATAN($P79/$O79)*180/PI()+90)-(360*(INT((180-ATAN($P79/$O79)*180/PI()+90)/360))),IF($O79=0,90-90*SIGN($P79),IF($P79=0,180-90*SIGN($O79),"Error"))))))</f>
      </c>
      <c r="O79" s="188">
        <f>IF(L79="","",IF(AND(ISNUMBER(C79),ISNUMBER(D79)),Q79-Q78,IF(OR(ISERROR($L79*COS((360-$M79+90)*PI()/180)),O78=""),"",($L79*COS(((360-$M79)+90)*PI()/180)))))</f>
      </c>
      <c r="P79" s="187">
        <f>IF(L79="","",IF(AND(ISNUMBER(C79),ISNUMBER(D79)),R79-R78,IF(OR(ISERROR($L79*SIN(((360-$B$6)-$M79+90)*PI()/180)),P78=""),"",($L79*SIN(((360-$M79)+90)*PI()/180)))))</f>
      </c>
      <c r="Q79" s="188">
        <f>IF(L79="","",IF(AND(ISNUMBER(C79),ISNUMBER(D79)),C79,IF(ISERROR(Q78+O79),"",(Q78+O79))))</f>
      </c>
      <c r="R79" s="187">
        <f>IF(L79="","",IF(AND(ISNUMBER(C79),ISNUMBER(D79)),D79,IF(ISERROR(R78+P79),"",(R78+P79))))</f>
      </c>
      <c r="S79" s="188">
        <f>IF($L79="","",IF(ISNUMBER($M79),IF(OR(ISERROR($S78+$L79*COS(((360-$B$6)-$M79+90)*PI()/180)),S78=""),"",($S78+$L79*COS(((360-$B$6)-$M79+90)*PI()/180))),IF(ISNUMBER($N79),IF(OR(ISERROR($S78+$L79*COS(((360-$B$6)-$N79+90)*PI()/180)),S78=""),"",($S78+$L79*COS(((360-$B$6)-$N79+90)*PI()/180))))))</f>
      </c>
      <c r="T79" s="207">
        <f>IF($L79="","",IF(ISNUMBER($M79),IF(OR(ISERROR($T78+$L79*SIN(((360-$B$6)-$M79+90)*PI()/180)),T78=""),"",($T78+$L79*SIN(((360-$B$6)-$M79+90)*PI()/180))),IF(ISNUMBER($N79),IF(OR(ISERROR($T78+$L79*SIN(((360-$B$6)-$N79+90)*PI()/180)),T78=""),"",($T78+$L79*SIN(((360-$B$6)-$N79+90)*PI()/180))))))</f>
      </c>
      <c r="V79" s="1"/>
    </row>
    <row r="80" spans="1:22" ht="12.75">
      <c r="A80" s="90">
        <v>64</v>
      </c>
      <c r="B80" s="301" t="s">
        <v>151</v>
      </c>
      <c r="C80" s="302"/>
      <c r="D80" s="302"/>
      <c r="E80" s="303"/>
      <c r="F80" s="302"/>
      <c r="G80" s="302"/>
      <c r="H80" s="302"/>
      <c r="I80" s="302"/>
      <c r="J80" s="304"/>
      <c r="K80" s="288"/>
      <c r="L80" s="305">
        <f>IF(OR(B80&lt;&gt;"",L79=""),"",IF(AND(ISNUMBER(C80),ISNUMBER(D80)),SQRT((C80-Q79)^2+(D80-R79)^2),IF(AND(AND(ISNUMBER(E80),OR(H80&lt;&gt;"",I80&lt;&gt;"")),L79&lt;&gt;""),E80,IF(AND(AND(AND(F80&lt;&gt;"",G80&lt;&gt;""),OR(H80&lt;&gt;"",I80&lt;&gt;"")),L79&lt;&gt;""),(F80*COS(ATAN(G80/100))),""))))</f>
      </c>
      <c r="M80" s="186">
        <f>IF(OR(L80="",COUNTBLANK(H80:I80)=2),"",IF(ISNUMBER(H80),H80,IF(AND(LEFT(I80,1)="S",RIGHT(I80,1)="E"),180-MID(I80,2,LEN(I80)-2),IF(AND(LEFT(I80,1)="S",RIGHT(I80,1)="W"),180+MID(I80,2,LEN(I80)-2),IF(AND(LEFT(I80,1)="N",RIGHT(I80,1)="W"),360-MID(I80,2,LEN(I80)-2),VALUE(MID(I80,2,LEN(I80)-2)))))))</f>
      </c>
      <c r="N80" s="187">
        <f>IF(OR(L80="",ISNUMBER(M80)),"",IF(OR(AND($O80&gt;0,$P80&gt;0),AND($O80&gt;0,$P80&lt;0)),(90-ATAN($P80/$O80)*180/PI())-(360*(INT((90-ATAN($P80/$O80)*180/PI())/360))),(IF(OR(AND($O80&lt;0,$P80&gt;0),AND($O80&lt;0,$P80&lt;0)),(180-ATAN($P80/$O80)*180/PI()+90)-(360*(INT((180-ATAN($P80/$O80)*180/PI()+90)/360))),IF($O80=0,90-90*SIGN($P80),IF($P80=0,180-90*SIGN($O80),"Error"))))))</f>
      </c>
      <c r="O80" s="188">
        <f>IF(L80="","",IF(AND(ISNUMBER(C80),ISNUMBER(D80)),Q80-Q79,IF(OR(ISERROR($L80*COS((360-$M80+90)*PI()/180)),O79=""),"",($L80*COS(((360-$M80)+90)*PI()/180)))))</f>
      </c>
      <c r="P80" s="187">
        <f>IF(L80="","",IF(AND(ISNUMBER(C80),ISNUMBER(D80)),R80-R79,IF(OR(ISERROR($L80*SIN(((360-$B$6)-$M80+90)*PI()/180)),P79=""),"",($L80*SIN(((360-$M80)+90)*PI()/180)))))</f>
      </c>
      <c r="Q80" s="188">
        <f>IF(L80="","",IF(AND(ISNUMBER(C80),ISNUMBER(D80)),C80,IF(ISERROR(Q79+O80),"",(Q79+O80))))</f>
      </c>
      <c r="R80" s="187">
        <f>IF(L80="","",IF(AND(ISNUMBER(C80),ISNUMBER(D80)),D80,IF(ISERROR(R79+P80),"",(R79+P80))))</f>
      </c>
      <c r="S80" s="188">
        <f>IF($L80="","",IF(ISNUMBER($M80),IF(OR(ISERROR($S79+$L80*COS(((360-$B$6)-$M80+90)*PI()/180)),S79=""),"",($S79+$L80*COS(((360-$B$6)-$M80+90)*PI()/180))),IF(ISNUMBER($N80),IF(OR(ISERROR($S79+$L80*COS(((360-$B$6)-$N80+90)*PI()/180)),S79=""),"",($S79+$L80*COS(((360-$B$6)-$N80+90)*PI()/180))))))</f>
      </c>
      <c r="T80" s="207">
        <f>IF($L80="","",IF(ISNUMBER($M80),IF(OR(ISERROR($T79+$L80*SIN(((360-$B$6)-$M80+90)*PI()/180)),T79=""),"",($T79+$L80*SIN(((360-$B$6)-$M80+90)*PI()/180))),IF(ISNUMBER($N80),IF(OR(ISERROR($T79+$L80*SIN(((360-$B$6)-$N80+90)*PI()/180)),T79=""),"",($T79+$L80*SIN(((360-$B$6)-$N80+90)*PI()/180))))))</f>
      </c>
      <c r="V80" s="1"/>
    </row>
    <row r="81" spans="1:22" ht="12.75">
      <c r="A81" s="90">
        <v>65</v>
      </c>
      <c r="B81" s="301" t="s">
        <v>151</v>
      </c>
      <c r="C81" s="302"/>
      <c r="D81" s="302"/>
      <c r="E81" s="303"/>
      <c r="F81" s="302"/>
      <c r="G81" s="302"/>
      <c r="H81" s="302"/>
      <c r="I81" s="302"/>
      <c r="J81" s="304"/>
      <c r="K81" s="288"/>
      <c r="L81" s="305">
        <f aca="true" t="shared" si="0" ref="L81:L116">IF(OR(B81&lt;&gt;"",L80=""),"",IF(AND(ISNUMBER(C81),ISNUMBER(D81)),SQRT((C81-Q80)^2+(D81-R80)^2),IF(AND(AND(ISNUMBER(E81),OR(H81&lt;&gt;"",I81&lt;&gt;"")),L80&lt;&gt;""),E81,IF(AND(AND(AND(F81&lt;&gt;"",G81&lt;&gt;""),OR(H81&lt;&gt;"",I81&lt;&gt;"")),L80&lt;&gt;""),(F81*COS(ATAN(G81/100))),""))))</f>
      </c>
      <c r="M81" s="186">
        <f>IF(OR(L81="",COUNTBLANK(H81:I81)=2),"",IF(ISNUMBER(H81),H81,IF(AND(LEFT(I81,1)="S",RIGHT(I81,1)="E"),180-MID(I81,2,LEN(I81)-2),IF(AND(LEFT(I81,1)="S",RIGHT(I81,1)="W"),180+MID(I81,2,LEN(I81)-2),IF(AND(LEFT(I81,1)="N",RIGHT(I81,1)="W"),360-MID(I81,2,LEN(I81)-2),VALUE(MID(I81,2,LEN(I81)-2)))))))</f>
      </c>
      <c r="N81" s="187">
        <f>IF(OR(L81="",ISNUMBER(M81)),"",IF(OR(AND($O81&gt;0,$P81&gt;0),AND($O81&gt;0,$P81&lt;0)),(90-ATAN($P81/$O81)*180/PI())-(360*(INT((90-ATAN($P81/$O81)*180/PI())/360))),(IF(OR(AND($O81&lt;0,$P81&gt;0),AND($O81&lt;0,$P81&lt;0)),(180-ATAN($P81/$O81)*180/PI()+90)-(360*(INT((180-ATAN($P81/$O81)*180/PI()+90)/360))),IF($O81=0,90-90*SIGN($P81),IF($P81=0,180-90*SIGN($O81),"Error"))))))</f>
      </c>
      <c r="O81" s="188">
        <f>IF(L81="","",IF(AND(ISNUMBER(C81),ISNUMBER(D81)),Q81-Q80,IF(OR(ISERROR($L81*COS((360-$M81+90)*PI()/180)),O80=""),"",($L81*COS(((360-$M81)+90)*PI()/180)))))</f>
      </c>
      <c r="P81" s="187">
        <f>IF(L81="","",IF(AND(ISNUMBER(C81),ISNUMBER(D81)),R81-R80,IF(OR(ISERROR($L81*SIN(((360-$B$6)-$M81+90)*PI()/180)),P80=""),"",($L81*SIN(((360-$M81)+90)*PI()/180)))))</f>
      </c>
      <c r="Q81" s="188">
        <f aca="true" t="shared" si="1" ref="Q81:Q116">IF(L81="","",IF(AND(ISNUMBER(C81),ISNUMBER(D81)),C81,IF(ISERROR(Q80+O81),"",(Q80+O81))))</f>
      </c>
      <c r="R81" s="187">
        <f aca="true" t="shared" si="2" ref="R81:R116">IF(L81="","",IF(AND(ISNUMBER(C81),ISNUMBER(D81)),D81,IF(ISERROR(R80+P81),"",(R80+P81))))</f>
      </c>
      <c r="S81" s="188">
        <f>IF($L81="","",IF(ISNUMBER($M81),IF(OR(ISERROR($S80+$L81*COS(((360-$B$6)-$M81+90)*PI()/180)),S80=""),"",($S80+$L81*COS(((360-$B$6)-$M81+90)*PI()/180))),IF(ISNUMBER($N81),IF(OR(ISERROR($S80+$L81*COS(((360-$B$6)-$N81+90)*PI()/180)),S80=""),"",($S80+$L81*COS(((360-$B$6)-$N81+90)*PI()/180))))))</f>
      </c>
      <c r="T81" s="207">
        <f>IF($L81="","",IF(ISNUMBER($M81),IF(OR(ISERROR($T80+$L81*SIN(((360-$B$6)-$M81+90)*PI()/180)),T80=""),"",($T80+$L81*SIN(((360-$B$6)-$M81+90)*PI()/180))),IF(ISNUMBER($N81),IF(OR(ISERROR($T80+$L81*SIN(((360-$B$6)-$N81+90)*PI()/180)),T80=""),"",($T80+$L81*SIN(((360-$B$6)-$N81+90)*PI()/180))))))</f>
      </c>
      <c r="V81" s="1"/>
    </row>
    <row r="82" spans="1:22" ht="12.75">
      <c r="A82" s="90">
        <v>66</v>
      </c>
      <c r="B82" s="301" t="s">
        <v>151</v>
      </c>
      <c r="C82" s="302"/>
      <c r="D82" s="302"/>
      <c r="E82" s="303"/>
      <c r="F82" s="302"/>
      <c r="G82" s="302"/>
      <c r="H82" s="302"/>
      <c r="I82" s="302"/>
      <c r="J82" s="304"/>
      <c r="K82" s="288"/>
      <c r="L82" s="305">
        <f t="shared" si="0"/>
      </c>
      <c r="M82" s="186">
        <f aca="true" t="shared" si="3" ref="M82:M116">IF(OR(L82="",COUNTBLANK(H82:I82)=2),"",IF(ISNUMBER(H82),H82,IF(AND(LEFT(I82,1)="S",RIGHT(I82,1)="E"),180-MID(I82,2,LEN(I82)-2),IF(AND(LEFT(I82,1)="S",RIGHT(I82,1)="W"),180+MID(I82,2,LEN(I82)-2),IF(AND(LEFT(I82,1)="N",RIGHT(I82,1)="W"),360-MID(I82,2,LEN(I82)-2),VALUE(MID(I82,2,LEN(I82)-2)))))))</f>
      </c>
      <c r="N82" s="187">
        <f aca="true" t="shared" si="4" ref="N82:N116">IF(OR(L82="",ISNUMBER(M82)),"",IF(OR(AND($O82&gt;0,$P82&gt;0),AND($O82&gt;0,$P82&lt;0)),(90-ATAN($P82/$O82)*180/PI())-(360*(INT((90-ATAN($P82/$O82)*180/PI())/360))),(IF(OR(AND($O82&lt;0,$P82&gt;0),AND($O82&lt;0,$P82&lt;0)),(180-ATAN($P82/$O82)*180/PI()+90)-(360*(INT((180-ATAN($P82/$O82)*180/PI()+90)/360))),IF($O82=0,90-90*SIGN($P82),IF($P82=0,180-90*SIGN($O82),"Error"))))))</f>
      </c>
      <c r="O82" s="188">
        <f aca="true" t="shared" si="5" ref="O82:O116">IF(L82="","",IF(AND(ISNUMBER(C82),ISNUMBER(D82)),Q82-Q81,IF(OR(ISERROR($L82*COS((360-$M82+90)*PI()/180)),O81=""),"",($L82*COS(((360-$M82)+90)*PI()/180)))))</f>
      </c>
      <c r="P82" s="187">
        <f aca="true" t="shared" si="6" ref="P82:P116">IF(L82="","",IF(AND(ISNUMBER(C82),ISNUMBER(D82)),R82-R81,IF(OR(ISERROR($L82*SIN(((360-$B$6)-$M82+90)*PI()/180)),P81=""),"",($L82*SIN(((360-$M82)+90)*PI()/180)))))</f>
      </c>
      <c r="Q82" s="188">
        <f t="shared" si="1"/>
      </c>
      <c r="R82" s="187">
        <f t="shared" si="2"/>
      </c>
      <c r="S82" s="188">
        <f aca="true" t="shared" si="7" ref="S82:S116">IF($L82="","",IF(ISNUMBER($M82),IF(OR(ISERROR($S81+$L82*COS(((360-$B$6)-$M82+90)*PI()/180)),S81=""),"",($S81+$L82*COS(((360-$B$6)-$M82+90)*PI()/180))),IF(ISNUMBER($N82),IF(OR(ISERROR($S81+$L82*COS(((360-$B$6)-$N82+90)*PI()/180)),S81=""),"",($S81+$L82*COS(((360-$B$6)-$N82+90)*PI()/180))))))</f>
      </c>
      <c r="T82" s="207">
        <f aca="true" t="shared" si="8" ref="T82:T116">IF($L82="","",IF(ISNUMBER($M82),IF(OR(ISERROR($T81+$L82*SIN(((360-$B$6)-$M82+90)*PI()/180)),T81=""),"",($T81+$L82*SIN(((360-$B$6)-$M82+90)*PI()/180))),IF(ISNUMBER($N82),IF(OR(ISERROR($T81+$L82*SIN(((360-$B$6)-$N82+90)*PI()/180)),T81=""),"",($T81+$L82*SIN(((360-$B$6)-$N82+90)*PI()/180))))))</f>
      </c>
      <c r="V82" s="1"/>
    </row>
    <row r="83" spans="1:22" ht="12.75">
      <c r="A83" s="90">
        <v>67</v>
      </c>
      <c r="B83" s="301" t="s">
        <v>151</v>
      </c>
      <c r="C83" s="302"/>
      <c r="D83" s="302"/>
      <c r="E83" s="303"/>
      <c r="F83" s="302"/>
      <c r="G83" s="302"/>
      <c r="H83" s="302"/>
      <c r="I83" s="302"/>
      <c r="J83" s="304"/>
      <c r="K83" s="288"/>
      <c r="L83" s="305">
        <f t="shared" si="0"/>
      </c>
      <c r="M83" s="186">
        <f t="shared" si="3"/>
      </c>
      <c r="N83" s="187">
        <f t="shared" si="4"/>
      </c>
      <c r="O83" s="188">
        <f t="shared" si="5"/>
      </c>
      <c r="P83" s="187">
        <f t="shared" si="6"/>
      </c>
      <c r="Q83" s="188">
        <f t="shared" si="1"/>
      </c>
      <c r="R83" s="187">
        <f t="shared" si="2"/>
      </c>
      <c r="S83" s="188">
        <f t="shared" si="7"/>
      </c>
      <c r="T83" s="207">
        <f t="shared" si="8"/>
      </c>
      <c r="V83" s="1"/>
    </row>
    <row r="84" spans="1:22" ht="12.75">
      <c r="A84" s="90">
        <v>68</v>
      </c>
      <c r="B84" s="301" t="s">
        <v>151</v>
      </c>
      <c r="C84" s="302"/>
      <c r="D84" s="302"/>
      <c r="E84" s="303"/>
      <c r="F84" s="302"/>
      <c r="G84" s="302"/>
      <c r="H84" s="302"/>
      <c r="I84" s="302"/>
      <c r="J84" s="304"/>
      <c r="K84" s="288"/>
      <c r="L84" s="305">
        <f t="shared" si="0"/>
      </c>
      <c r="M84" s="186">
        <f t="shared" si="3"/>
      </c>
      <c r="N84" s="187">
        <f t="shared" si="4"/>
      </c>
      <c r="O84" s="188">
        <f t="shared" si="5"/>
      </c>
      <c r="P84" s="187">
        <f t="shared" si="6"/>
      </c>
      <c r="Q84" s="188">
        <f t="shared" si="1"/>
      </c>
      <c r="R84" s="187">
        <f t="shared" si="2"/>
      </c>
      <c r="S84" s="188">
        <f t="shared" si="7"/>
      </c>
      <c r="T84" s="207">
        <f t="shared" si="8"/>
      </c>
      <c r="V84" s="1"/>
    </row>
    <row r="85" spans="1:22" ht="12.75">
      <c r="A85" s="90">
        <v>69</v>
      </c>
      <c r="B85" s="301" t="s">
        <v>151</v>
      </c>
      <c r="C85" s="302"/>
      <c r="D85" s="302"/>
      <c r="E85" s="303"/>
      <c r="F85" s="302"/>
      <c r="G85" s="302"/>
      <c r="H85" s="302"/>
      <c r="I85" s="302"/>
      <c r="J85" s="304"/>
      <c r="K85" s="288"/>
      <c r="L85" s="305">
        <f t="shared" si="0"/>
      </c>
      <c r="M85" s="186">
        <f t="shared" si="3"/>
      </c>
      <c r="N85" s="187">
        <f t="shared" si="4"/>
      </c>
      <c r="O85" s="188">
        <f t="shared" si="5"/>
      </c>
      <c r="P85" s="187">
        <f t="shared" si="6"/>
      </c>
      <c r="Q85" s="188">
        <f t="shared" si="1"/>
      </c>
      <c r="R85" s="187">
        <f t="shared" si="2"/>
      </c>
      <c r="S85" s="188">
        <f t="shared" si="7"/>
      </c>
      <c r="T85" s="207">
        <f t="shared" si="8"/>
      </c>
      <c r="V85" s="1"/>
    </row>
    <row r="86" spans="1:22" ht="12.75">
      <c r="A86" s="90">
        <v>70</v>
      </c>
      <c r="B86" s="301" t="s">
        <v>151</v>
      </c>
      <c r="C86" s="302"/>
      <c r="D86" s="302"/>
      <c r="E86" s="303"/>
      <c r="F86" s="302"/>
      <c r="G86" s="302"/>
      <c r="H86" s="302"/>
      <c r="I86" s="302"/>
      <c r="J86" s="304"/>
      <c r="K86" s="288"/>
      <c r="L86" s="305">
        <f t="shared" si="0"/>
      </c>
      <c r="M86" s="186">
        <f t="shared" si="3"/>
      </c>
      <c r="N86" s="187">
        <f t="shared" si="4"/>
      </c>
      <c r="O86" s="188">
        <f t="shared" si="5"/>
      </c>
      <c r="P86" s="187">
        <f t="shared" si="6"/>
      </c>
      <c r="Q86" s="188">
        <f t="shared" si="1"/>
      </c>
      <c r="R86" s="187">
        <f t="shared" si="2"/>
      </c>
      <c r="S86" s="188">
        <f t="shared" si="7"/>
      </c>
      <c r="T86" s="207">
        <f t="shared" si="8"/>
      </c>
      <c r="V86" s="1"/>
    </row>
    <row r="87" spans="1:22" ht="12.75">
      <c r="A87" s="90">
        <v>71</v>
      </c>
      <c r="B87" s="301" t="s">
        <v>151</v>
      </c>
      <c r="C87" s="302"/>
      <c r="D87" s="302"/>
      <c r="E87" s="303"/>
      <c r="F87" s="302"/>
      <c r="G87" s="302"/>
      <c r="H87" s="302"/>
      <c r="I87" s="302"/>
      <c r="J87" s="304"/>
      <c r="K87" s="288"/>
      <c r="L87" s="305">
        <f t="shared" si="0"/>
      </c>
      <c r="M87" s="186">
        <f t="shared" si="3"/>
      </c>
      <c r="N87" s="187">
        <f t="shared" si="4"/>
      </c>
      <c r="O87" s="188">
        <f t="shared" si="5"/>
      </c>
      <c r="P87" s="187">
        <f t="shared" si="6"/>
      </c>
      <c r="Q87" s="188">
        <f t="shared" si="1"/>
      </c>
      <c r="R87" s="187">
        <f t="shared" si="2"/>
      </c>
      <c r="S87" s="188">
        <f t="shared" si="7"/>
      </c>
      <c r="T87" s="207">
        <f t="shared" si="8"/>
      </c>
      <c r="V87" s="1"/>
    </row>
    <row r="88" spans="1:22" ht="12.75">
      <c r="A88" s="90">
        <v>72</v>
      </c>
      <c r="B88" s="301" t="s">
        <v>151</v>
      </c>
      <c r="C88" s="302"/>
      <c r="D88" s="302"/>
      <c r="E88" s="303"/>
      <c r="F88" s="302"/>
      <c r="G88" s="302"/>
      <c r="H88" s="302"/>
      <c r="I88" s="302"/>
      <c r="J88" s="304"/>
      <c r="K88" s="288"/>
      <c r="L88" s="305">
        <f t="shared" si="0"/>
      </c>
      <c r="M88" s="186">
        <f t="shared" si="3"/>
      </c>
      <c r="N88" s="187">
        <f t="shared" si="4"/>
      </c>
      <c r="O88" s="188">
        <f t="shared" si="5"/>
      </c>
      <c r="P88" s="187">
        <f t="shared" si="6"/>
      </c>
      <c r="Q88" s="188">
        <f t="shared" si="1"/>
      </c>
      <c r="R88" s="187">
        <f t="shared" si="2"/>
      </c>
      <c r="S88" s="188">
        <f t="shared" si="7"/>
      </c>
      <c r="T88" s="207">
        <f t="shared" si="8"/>
      </c>
      <c r="V88" s="1"/>
    </row>
    <row r="89" spans="1:22" ht="12.75">
      <c r="A89" s="90">
        <v>73</v>
      </c>
      <c r="B89" s="301" t="s">
        <v>151</v>
      </c>
      <c r="C89" s="302"/>
      <c r="D89" s="302"/>
      <c r="E89" s="303"/>
      <c r="F89" s="302"/>
      <c r="G89" s="302"/>
      <c r="H89" s="302"/>
      <c r="I89" s="302"/>
      <c r="J89" s="304"/>
      <c r="K89" s="288"/>
      <c r="L89" s="305">
        <f t="shared" si="0"/>
      </c>
      <c r="M89" s="186">
        <f t="shared" si="3"/>
      </c>
      <c r="N89" s="187">
        <f t="shared" si="4"/>
      </c>
      <c r="O89" s="188">
        <f t="shared" si="5"/>
      </c>
      <c r="P89" s="187">
        <f t="shared" si="6"/>
      </c>
      <c r="Q89" s="188">
        <f t="shared" si="1"/>
      </c>
      <c r="R89" s="187">
        <f t="shared" si="2"/>
      </c>
      <c r="S89" s="188">
        <f t="shared" si="7"/>
      </c>
      <c r="T89" s="207">
        <f t="shared" si="8"/>
      </c>
      <c r="V89" s="1"/>
    </row>
    <row r="90" spans="1:22" ht="12.75">
      <c r="A90" s="90">
        <v>74</v>
      </c>
      <c r="B90" s="301" t="s">
        <v>151</v>
      </c>
      <c r="C90" s="302"/>
      <c r="D90" s="302"/>
      <c r="E90" s="303"/>
      <c r="F90" s="302"/>
      <c r="G90" s="302"/>
      <c r="H90" s="302"/>
      <c r="I90" s="302"/>
      <c r="J90" s="304"/>
      <c r="K90" s="288"/>
      <c r="L90" s="305">
        <f t="shared" si="0"/>
      </c>
      <c r="M90" s="186">
        <f t="shared" si="3"/>
      </c>
      <c r="N90" s="187">
        <f t="shared" si="4"/>
      </c>
      <c r="O90" s="188">
        <f t="shared" si="5"/>
      </c>
      <c r="P90" s="187">
        <f t="shared" si="6"/>
      </c>
      <c r="Q90" s="188">
        <f t="shared" si="1"/>
      </c>
      <c r="R90" s="187">
        <f t="shared" si="2"/>
      </c>
      <c r="S90" s="188">
        <f t="shared" si="7"/>
      </c>
      <c r="T90" s="207">
        <f t="shared" si="8"/>
      </c>
      <c r="V90" s="1"/>
    </row>
    <row r="91" spans="1:22" ht="12.75">
      <c r="A91" s="90">
        <v>75</v>
      </c>
      <c r="B91" s="301" t="s">
        <v>151</v>
      </c>
      <c r="C91" s="302"/>
      <c r="D91" s="302"/>
      <c r="E91" s="303"/>
      <c r="F91" s="302"/>
      <c r="G91" s="302"/>
      <c r="H91" s="302"/>
      <c r="I91" s="302"/>
      <c r="J91" s="304"/>
      <c r="K91" s="288"/>
      <c r="L91" s="305">
        <f t="shared" si="0"/>
      </c>
      <c r="M91" s="186">
        <f t="shared" si="3"/>
      </c>
      <c r="N91" s="187">
        <f t="shared" si="4"/>
      </c>
      <c r="O91" s="188">
        <f t="shared" si="5"/>
      </c>
      <c r="P91" s="187">
        <f t="shared" si="6"/>
      </c>
      <c r="Q91" s="188">
        <f t="shared" si="1"/>
      </c>
      <c r="R91" s="187">
        <f t="shared" si="2"/>
      </c>
      <c r="S91" s="188">
        <f t="shared" si="7"/>
      </c>
      <c r="T91" s="207">
        <f t="shared" si="8"/>
      </c>
      <c r="V91" s="1"/>
    </row>
    <row r="92" spans="1:22" ht="12.75">
      <c r="A92" s="90">
        <v>76</v>
      </c>
      <c r="B92" s="301" t="s">
        <v>151</v>
      </c>
      <c r="C92" s="302"/>
      <c r="D92" s="302"/>
      <c r="E92" s="303"/>
      <c r="F92" s="302"/>
      <c r="G92" s="302"/>
      <c r="H92" s="302"/>
      <c r="I92" s="302"/>
      <c r="J92" s="304"/>
      <c r="K92" s="288"/>
      <c r="L92" s="305">
        <f t="shared" si="0"/>
      </c>
      <c r="M92" s="186">
        <f t="shared" si="3"/>
      </c>
      <c r="N92" s="187">
        <f t="shared" si="4"/>
      </c>
      <c r="O92" s="188">
        <f t="shared" si="5"/>
      </c>
      <c r="P92" s="187">
        <f t="shared" si="6"/>
      </c>
      <c r="Q92" s="188">
        <f t="shared" si="1"/>
      </c>
      <c r="R92" s="187">
        <f t="shared" si="2"/>
      </c>
      <c r="S92" s="188">
        <f t="shared" si="7"/>
      </c>
      <c r="T92" s="207">
        <f t="shared" si="8"/>
      </c>
      <c r="V92" s="1"/>
    </row>
    <row r="93" spans="1:22" ht="12.75">
      <c r="A93" s="90">
        <v>77</v>
      </c>
      <c r="B93" s="301" t="s">
        <v>151</v>
      </c>
      <c r="C93" s="302"/>
      <c r="D93" s="302"/>
      <c r="E93" s="303"/>
      <c r="F93" s="302"/>
      <c r="G93" s="302"/>
      <c r="H93" s="302"/>
      <c r="I93" s="302"/>
      <c r="J93" s="304"/>
      <c r="K93" s="288"/>
      <c r="L93" s="305">
        <f t="shared" si="0"/>
      </c>
      <c r="M93" s="186">
        <f t="shared" si="3"/>
      </c>
      <c r="N93" s="187">
        <f t="shared" si="4"/>
      </c>
      <c r="O93" s="188">
        <f t="shared" si="5"/>
      </c>
      <c r="P93" s="187">
        <f t="shared" si="6"/>
      </c>
      <c r="Q93" s="188">
        <f t="shared" si="1"/>
      </c>
      <c r="R93" s="187">
        <f t="shared" si="2"/>
      </c>
      <c r="S93" s="188">
        <f t="shared" si="7"/>
      </c>
      <c r="T93" s="207">
        <f t="shared" si="8"/>
      </c>
      <c r="V93" s="1"/>
    </row>
    <row r="94" spans="1:22" ht="12.75">
      <c r="A94" s="90">
        <v>78</v>
      </c>
      <c r="B94" s="301" t="s">
        <v>151</v>
      </c>
      <c r="C94" s="302"/>
      <c r="D94" s="302"/>
      <c r="E94" s="303"/>
      <c r="F94" s="302"/>
      <c r="G94" s="302"/>
      <c r="H94" s="302"/>
      <c r="I94" s="302"/>
      <c r="J94" s="304"/>
      <c r="K94" s="288"/>
      <c r="L94" s="305">
        <f t="shared" si="0"/>
      </c>
      <c r="M94" s="186">
        <f t="shared" si="3"/>
      </c>
      <c r="N94" s="187">
        <f t="shared" si="4"/>
      </c>
      <c r="O94" s="188">
        <f t="shared" si="5"/>
      </c>
      <c r="P94" s="187">
        <f t="shared" si="6"/>
      </c>
      <c r="Q94" s="188">
        <f t="shared" si="1"/>
      </c>
      <c r="R94" s="187">
        <f t="shared" si="2"/>
      </c>
      <c r="S94" s="188">
        <f t="shared" si="7"/>
      </c>
      <c r="T94" s="207">
        <f t="shared" si="8"/>
      </c>
      <c r="V94" s="1"/>
    </row>
    <row r="95" spans="1:22" ht="12.75">
      <c r="A95" s="90">
        <v>79</v>
      </c>
      <c r="B95" s="301" t="s">
        <v>151</v>
      </c>
      <c r="C95" s="302"/>
      <c r="D95" s="302"/>
      <c r="E95" s="303"/>
      <c r="F95" s="302"/>
      <c r="G95" s="302"/>
      <c r="H95" s="302"/>
      <c r="I95" s="302"/>
      <c r="J95" s="304"/>
      <c r="K95" s="288"/>
      <c r="L95" s="305">
        <f t="shared" si="0"/>
      </c>
      <c r="M95" s="186">
        <f t="shared" si="3"/>
      </c>
      <c r="N95" s="187">
        <f t="shared" si="4"/>
      </c>
      <c r="O95" s="188">
        <f t="shared" si="5"/>
      </c>
      <c r="P95" s="187">
        <f t="shared" si="6"/>
      </c>
      <c r="Q95" s="188">
        <f t="shared" si="1"/>
      </c>
      <c r="R95" s="187">
        <f t="shared" si="2"/>
      </c>
      <c r="S95" s="188">
        <f t="shared" si="7"/>
      </c>
      <c r="T95" s="207">
        <f t="shared" si="8"/>
      </c>
      <c r="V95" s="1"/>
    </row>
    <row r="96" spans="1:22" ht="12.75">
      <c r="A96" s="90">
        <v>80</v>
      </c>
      <c r="B96" s="301" t="s">
        <v>151</v>
      </c>
      <c r="C96" s="302"/>
      <c r="D96" s="302"/>
      <c r="E96" s="303"/>
      <c r="F96" s="302"/>
      <c r="G96" s="302"/>
      <c r="H96" s="302"/>
      <c r="I96" s="302"/>
      <c r="J96" s="304"/>
      <c r="K96" s="288"/>
      <c r="L96" s="305">
        <f t="shared" si="0"/>
      </c>
      <c r="M96" s="186">
        <f t="shared" si="3"/>
      </c>
      <c r="N96" s="187">
        <f t="shared" si="4"/>
      </c>
      <c r="O96" s="188">
        <f t="shared" si="5"/>
      </c>
      <c r="P96" s="187">
        <f t="shared" si="6"/>
      </c>
      <c r="Q96" s="188">
        <f t="shared" si="1"/>
      </c>
      <c r="R96" s="187">
        <f t="shared" si="2"/>
      </c>
      <c r="S96" s="188">
        <f t="shared" si="7"/>
      </c>
      <c r="T96" s="207">
        <f t="shared" si="8"/>
      </c>
      <c r="V96" s="1"/>
    </row>
    <row r="97" spans="1:22" ht="12.75">
      <c r="A97" s="90">
        <v>81</v>
      </c>
      <c r="B97" s="301" t="s">
        <v>151</v>
      </c>
      <c r="C97" s="302"/>
      <c r="D97" s="302"/>
      <c r="E97" s="303"/>
      <c r="F97" s="302"/>
      <c r="G97" s="302"/>
      <c r="H97" s="302"/>
      <c r="I97" s="302"/>
      <c r="J97" s="304"/>
      <c r="K97" s="288"/>
      <c r="L97" s="305">
        <f t="shared" si="0"/>
      </c>
      <c r="M97" s="186">
        <f t="shared" si="3"/>
      </c>
      <c r="N97" s="187">
        <f t="shared" si="4"/>
      </c>
      <c r="O97" s="188">
        <f t="shared" si="5"/>
      </c>
      <c r="P97" s="187">
        <f t="shared" si="6"/>
      </c>
      <c r="Q97" s="188">
        <f t="shared" si="1"/>
      </c>
      <c r="R97" s="187">
        <f t="shared" si="2"/>
      </c>
      <c r="S97" s="188">
        <f t="shared" si="7"/>
      </c>
      <c r="T97" s="207">
        <f t="shared" si="8"/>
      </c>
      <c r="V97" s="1"/>
    </row>
    <row r="98" spans="1:22" ht="12.75">
      <c r="A98" s="90">
        <v>82</v>
      </c>
      <c r="B98" s="301" t="s">
        <v>151</v>
      </c>
      <c r="C98" s="302"/>
      <c r="D98" s="302"/>
      <c r="E98" s="303"/>
      <c r="F98" s="302"/>
      <c r="G98" s="302"/>
      <c r="H98" s="302"/>
      <c r="I98" s="302"/>
      <c r="J98" s="304"/>
      <c r="K98" s="288"/>
      <c r="L98" s="305">
        <f t="shared" si="0"/>
      </c>
      <c r="M98" s="186">
        <f t="shared" si="3"/>
      </c>
      <c r="N98" s="187">
        <f t="shared" si="4"/>
      </c>
      <c r="O98" s="188">
        <f t="shared" si="5"/>
      </c>
      <c r="P98" s="187">
        <f t="shared" si="6"/>
      </c>
      <c r="Q98" s="188">
        <f t="shared" si="1"/>
      </c>
      <c r="R98" s="187">
        <f t="shared" si="2"/>
      </c>
      <c r="S98" s="188">
        <f t="shared" si="7"/>
      </c>
      <c r="T98" s="207">
        <f t="shared" si="8"/>
      </c>
      <c r="V98" s="1"/>
    </row>
    <row r="99" spans="1:22" ht="12.75">
      <c r="A99" s="90">
        <v>83</v>
      </c>
      <c r="B99" s="301" t="s">
        <v>151</v>
      </c>
      <c r="C99" s="302"/>
      <c r="D99" s="302"/>
      <c r="E99" s="303"/>
      <c r="F99" s="302"/>
      <c r="G99" s="302"/>
      <c r="H99" s="302"/>
      <c r="I99" s="302"/>
      <c r="J99" s="304"/>
      <c r="K99" s="288"/>
      <c r="L99" s="305">
        <f t="shared" si="0"/>
      </c>
      <c r="M99" s="186">
        <f t="shared" si="3"/>
      </c>
      <c r="N99" s="187">
        <f t="shared" si="4"/>
      </c>
      <c r="O99" s="188">
        <f t="shared" si="5"/>
      </c>
      <c r="P99" s="187">
        <f t="shared" si="6"/>
      </c>
      <c r="Q99" s="188">
        <f t="shared" si="1"/>
      </c>
      <c r="R99" s="187">
        <f t="shared" si="2"/>
      </c>
      <c r="S99" s="188">
        <f t="shared" si="7"/>
      </c>
      <c r="T99" s="207">
        <f t="shared" si="8"/>
      </c>
      <c r="V99" s="1"/>
    </row>
    <row r="100" spans="1:22" ht="12.75">
      <c r="A100" s="90">
        <v>84</v>
      </c>
      <c r="B100" s="301" t="s">
        <v>151</v>
      </c>
      <c r="C100" s="302"/>
      <c r="D100" s="302"/>
      <c r="E100" s="303"/>
      <c r="F100" s="302"/>
      <c r="G100" s="302"/>
      <c r="H100" s="302"/>
      <c r="I100" s="302"/>
      <c r="J100" s="304"/>
      <c r="K100" s="288"/>
      <c r="L100" s="305">
        <f t="shared" si="0"/>
      </c>
      <c r="M100" s="186">
        <f t="shared" si="3"/>
      </c>
      <c r="N100" s="187">
        <f t="shared" si="4"/>
      </c>
      <c r="O100" s="188">
        <f t="shared" si="5"/>
      </c>
      <c r="P100" s="187">
        <f t="shared" si="6"/>
      </c>
      <c r="Q100" s="188">
        <f t="shared" si="1"/>
      </c>
      <c r="R100" s="187">
        <f t="shared" si="2"/>
      </c>
      <c r="S100" s="188">
        <f t="shared" si="7"/>
      </c>
      <c r="T100" s="207">
        <f t="shared" si="8"/>
      </c>
      <c r="V100" s="1"/>
    </row>
    <row r="101" spans="1:22" ht="12.75">
      <c r="A101" s="90">
        <v>85</v>
      </c>
      <c r="B101" s="301" t="s">
        <v>151</v>
      </c>
      <c r="C101" s="302"/>
      <c r="D101" s="302"/>
      <c r="E101" s="303"/>
      <c r="F101" s="302"/>
      <c r="G101" s="302"/>
      <c r="H101" s="302"/>
      <c r="I101" s="302"/>
      <c r="J101" s="304"/>
      <c r="K101" s="288"/>
      <c r="L101" s="305">
        <f t="shared" si="0"/>
      </c>
      <c r="M101" s="186">
        <f t="shared" si="3"/>
      </c>
      <c r="N101" s="187">
        <f t="shared" si="4"/>
      </c>
      <c r="O101" s="188">
        <f t="shared" si="5"/>
      </c>
      <c r="P101" s="187">
        <f t="shared" si="6"/>
      </c>
      <c r="Q101" s="188">
        <f t="shared" si="1"/>
      </c>
      <c r="R101" s="187">
        <f t="shared" si="2"/>
      </c>
      <c r="S101" s="188">
        <f t="shared" si="7"/>
      </c>
      <c r="T101" s="207">
        <f t="shared" si="8"/>
      </c>
      <c r="V101" s="1"/>
    </row>
    <row r="102" spans="1:22" ht="12.75">
      <c r="A102" s="90">
        <v>86</v>
      </c>
      <c r="B102" s="301" t="s">
        <v>151</v>
      </c>
      <c r="C102" s="302"/>
      <c r="D102" s="302"/>
      <c r="E102" s="303"/>
      <c r="F102" s="302"/>
      <c r="G102" s="302"/>
      <c r="H102" s="302"/>
      <c r="I102" s="302"/>
      <c r="J102" s="304"/>
      <c r="K102" s="288"/>
      <c r="L102" s="305">
        <f t="shared" si="0"/>
      </c>
      <c r="M102" s="186">
        <f t="shared" si="3"/>
      </c>
      <c r="N102" s="187">
        <f t="shared" si="4"/>
      </c>
      <c r="O102" s="188">
        <f t="shared" si="5"/>
      </c>
      <c r="P102" s="187">
        <f t="shared" si="6"/>
      </c>
      <c r="Q102" s="188">
        <f t="shared" si="1"/>
      </c>
      <c r="R102" s="187">
        <f t="shared" si="2"/>
      </c>
      <c r="S102" s="188">
        <f t="shared" si="7"/>
      </c>
      <c r="T102" s="207">
        <f t="shared" si="8"/>
      </c>
      <c r="V102" s="1"/>
    </row>
    <row r="103" spans="1:22" ht="12.75">
      <c r="A103" s="90">
        <v>87</v>
      </c>
      <c r="B103" s="301" t="s">
        <v>151</v>
      </c>
      <c r="C103" s="302"/>
      <c r="D103" s="302"/>
      <c r="E103" s="303"/>
      <c r="F103" s="302"/>
      <c r="G103" s="302"/>
      <c r="H103" s="302"/>
      <c r="I103" s="302"/>
      <c r="J103" s="304"/>
      <c r="K103" s="288"/>
      <c r="L103" s="305">
        <f t="shared" si="0"/>
      </c>
      <c r="M103" s="186">
        <f t="shared" si="3"/>
      </c>
      <c r="N103" s="187">
        <f t="shared" si="4"/>
      </c>
      <c r="O103" s="188">
        <f t="shared" si="5"/>
      </c>
      <c r="P103" s="187">
        <f t="shared" si="6"/>
      </c>
      <c r="Q103" s="188">
        <f t="shared" si="1"/>
      </c>
      <c r="R103" s="187">
        <f t="shared" si="2"/>
      </c>
      <c r="S103" s="188">
        <f t="shared" si="7"/>
      </c>
      <c r="T103" s="207">
        <f t="shared" si="8"/>
      </c>
      <c r="V103" s="1"/>
    </row>
    <row r="104" spans="1:22" ht="12.75">
      <c r="A104" s="90">
        <v>88</v>
      </c>
      <c r="B104" s="301" t="s">
        <v>151</v>
      </c>
      <c r="C104" s="302"/>
      <c r="D104" s="302"/>
      <c r="E104" s="303"/>
      <c r="F104" s="302"/>
      <c r="G104" s="302"/>
      <c r="H104" s="302"/>
      <c r="I104" s="302"/>
      <c r="J104" s="304"/>
      <c r="K104" s="288"/>
      <c r="L104" s="305">
        <f t="shared" si="0"/>
      </c>
      <c r="M104" s="186">
        <f t="shared" si="3"/>
      </c>
      <c r="N104" s="187">
        <f t="shared" si="4"/>
      </c>
      <c r="O104" s="188">
        <f t="shared" si="5"/>
      </c>
      <c r="P104" s="187">
        <f t="shared" si="6"/>
      </c>
      <c r="Q104" s="188">
        <f t="shared" si="1"/>
      </c>
      <c r="R104" s="187">
        <f t="shared" si="2"/>
      </c>
      <c r="S104" s="188">
        <f t="shared" si="7"/>
      </c>
      <c r="T104" s="207">
        <f t="shared" si="8"/>
      </c>
      <c r="V104" s="1"/>
    </row>
    <row r="105" spans="1:22" ht="12.75">
      <c r="A105" s="90">
        <v>89</v>
      </c>
      <c r="B105" s="301" t="s">
        <v>151</v>
      </c>
      <c r="C105" s="302"/>
      <c r="D105" s="302"/>
      <c r="E105" s="303"/>
      <c r="F105" s="302"/>
      <c r="G105" s="302"/>
      <c r="H105" s="302"/>
      <c r="I105" s="302"/>
      <c r="J105" s="304"/>
      <c r="K105" s="288"/>
      <c r="L105" s="305">
        <f t="shared" si="0"/>
      </c>
      <c r="M105" s="186">
        <f t="shared" si="3"/>
      </c>
      <c r="N105" s="187">
        <f t="shared" si="4"/>
      </c>
      <c r="O105" s="188">
        <f t="shared" si="5"/>
      </c>
      <c r="P105" s="187">
        <f t="shared" si="6"/>
      </c>
      <c r="Q105" s="188">
        <f t="shared" si="1"/>
      </c>
      <c r="R105" s="187">
        <f t="shared" si="2"/>
      </c>
      <c r="S105" s="188">
        <f t="shared" si="7"/>
      </c>
      <c r="T105" s="207">
        <f t="shared" si="8"/>
      </c>
      <c r="V105" s="1"/>
    </row>
    <row r="106" spans="1:22" ht="12.75">
      <c r="A106" s="90">
        <v>90</v>
      </c>
      <c r="B106" s="301" t="s">
        <v>151</v>
      </c>
      <c r="C106" s="302"/>
      <c r="D106" s="302"/>
      <c r="E106" s="303"/>
      <c r="F106" s="302"/>
      <c r="G106" s="302"/>
      <c r="H106" s="302"/>
      <c r="I106" s="302"/>
      <c r="J106" s="304"/>
      <c r="K106" s="288"/>
      <c r="L106" s="305">
        <f t="shared" si="0"/>
      </c>
      <c r="M106" s="186">
        <f t="shared" si="3"/>
      </c>
      <c r="N106" s="187">
        <f t="shared" si="4"/>
      </c>
      <c r="O106" s="188">
        <f t="shared" si="5"/>
      </c>
      <c r="P106" s="187">
        <f t="shared" si="6"/>
      </c>
      <c r="Q106" s="188">
        <f t="shared" si="1"/>
      </c>
      <c r="R106" s="187">
        <f t="shared" si="2"/>
      </c>
      <c r="S106" s="188">
        <f t="shared" si="7"/>
      </c>
      <c r="T106" s="207">
        <f t="shared" si="8"/>
      </c>
      <c r="V106" s="1"/>
    </row>
    <row r="107" spans="1:22" ht="12.75">
      <c r="A107" s="90">
        <v>91</v>
      </c>
      <c r="B107" s="301" t="s">
        <v>151</v>
      </c>
      <c r="C107" s="302"/>
      <c r="D107" s="302"/>
      <c r="E107" s="303"/>
      <c r="F107" s="302"/>
      <c r="G107" s="302"/>
      <c r="H107" s="302"/>
      <c r="I107" s="302"/>
      <c r="J107" s="304"/>
      <c r="K107" s="288"/>
      <c r="L107" s="305">
        <f t="shared" si="0"/>
      </c>
      <c r="M107" s="186">
        <f t="shared" si="3"/>
      </c>
      <c r="N107" s="187">
        <f t="shared" si="4"/>
      </c>
      <c r="O107" s="188">
        <f t="shared" si="5"/>
      </c>
      <c r="P107" s="187">
        <f t="shared" si="6"/>
      </c>
      <c r="Q107" s="188">
        <f t="shared" si="1"/>
      </c>
      <c r="R107" s="187">
        <f t="shared" si="2"/>
      </c>
      <c r="S107" s="188">
        <f t="shared" si="7"/>
      </c>
      <c r="T107" s="207">
        <f t="shared" si="8"/>
      </c>
      <c r="V107" s="1"/>
    </row>
    <row r="108" spans="1:22" ht="12.75">
      <c r="A108" s="90">
        <v>92</v>
      </c>
      <c r="B108" s="301" t="s">
        <v>151</v>
      </c>
      <c r="C108" s="302"/>
      <c r="D108" s="302"/>
      <c r="E108" s="303"/>
      <c r="F108" s="302"/>
      <c r="G108" s="302"/>
      <c r="H108" s="302"/>
      <c r="I108" s="302"/>
      <c r="J108" s="304"/>
      <c r="K108" s="288"/>
      <c r="L108" s="305">
        <f t="shared" si="0"/>
      </c>
      <c r="M108" s="186">
        <f t="shared" si="3"/>
      </c>
      <c r="N108" s="187">
        <f t="shared" si="4"/>
      </c>
      <c r="O108" s="188">
        <f t="shared" si="5"/>
      </c>
      <c r="P108" s="187">
        <f t="shared" si="6"/>
      </c>
      <c r="Q108" s="188">
        <f t="shared" si="1"/>
      </c>
      <c r="R108" s="187">
        <f t="shared" si="2"/>
      </c>
      <c r="S108" s="188">
        <f t="shared" si="7"/>
      </c>
      <c r="T108" s="207">
        <f t="shared" si="8"/>
      </c>
      <c r="V108" s="1"/>
    </row>
    <row r="109" spans="1:22" ht="12.75">
      <c r="A109" s="90">
        <v>93</v>
      </c>
      <c r="B109" s="301" t="s">
        <v>151</v>
      </c>
      <c r="C109" s="302"/>
      <c r="D109" s="302"/>
      <c r="E109" s="303"/>
      <c r="F109" s="302"/>
      <c r="G109" s="302"/>
      <c r="H109" s="302"/>
      <c r="I109" s="302"/>
      <c r="J109" s="304"/>
      <c r="K109" s="288"/>
      <c r="L109" s="305">
        <f t="shared" si="0"/>
      </c>
      <c r="M109" s="186">
        <f t="shared" si="3"/>
      </c>
      <c r="N109" s="187">
        <f t="shared" si="4"/>
      </c>
      <c r="O109" s="188">
        <f t="shared" si="5"/>
      </c>
      <c r="P109" s="187">
        <f t="shared" si="6"/>
      </c>
      <c r="Q109" s="188">
        <f t="shared" si="1"/>
      </c>
      <c r="R109" s="187">
        <f t="shared" si="2"/>
      </c>
      <c r="S109" s="188">
        <f t="shared" si="7"/>
      </c>
      <c r="T109" s="207">
        <f t="shared" si="8"/>
      </c>
      <c r="V109" s="1"/>
    </row>
    <row r="110" spans="1:22" ht="12.75">
      <c r="A110" s="90">
        <v>94</v>
      </c>
      <c r="B110" s="301" t="s">
        <v>151</v>
      </c>
      <c r="C110" s="302"/>
      <c r="D110" s="302"/>
      <c r="E110" s="303"/>
      <c r="F110" s="302"/>
      <c r="G110" s="302"/>
      <c r="H110" s="302"/>
      <c r="I110" s="302"/>
      <c r="J110" s="304"/>
      <c r="K110" s="288"/>
      <c r="L110" s="305">
        <f t="shared" si="0"/>
      </c>
      <c r="M110" s="186">
        <f t="shared" si="3"/>
      </c>
      <c r="N110" s="187">
        <f t="shared" si="4"/>
      </c>
      <c r="O110" s="188">
        <f t="shared" si="5"/>
      </c>
      <c r="P110" s="187">
        <f t="shared" si="6"/>
      </c>
      <c r="Q110" s="188">
        <f t="shared" si="1"/>
      </c>
      <c r="R110" s="187">
        <f t="shared" si="2"/>
      </c>
      <c r="S110" s="188">
        <f t="shared" si="7"/>
      </c>
      <c r="T110" s="207">
        <f t="shared" si="8"/>
      </c>
      <c r="V110" s="1"/>
    </row>
    <row r="111" spans="1:22" ht="12.75">
      <c r="A111" s="90">
        <v>95</v>
      </c>
      <c r="B111" s="301" t="s">
        <v>151</v>
      </c>
      <c r="C111" s="302"/>
      <c r="D111" s="302"/>
      <c r="E111" s="303"/>
      <c r="F111" s="302"/>
      <c r="G111" s="302"/>
      <c r="H111" s="302"/>
      <c r="I111" s="302"/>
      <c r="J111" s="304"/>
      <c r="K111" s="288"/>
      <c r="L111" s="305">
        <f t="shared" si="0"/>
      </c>
      <c r="M111" s="186">
        <f t="shared" si="3"/>
      </c>
      <c r="N111" s="187">
        <f t="shared" si="4"/>
      </c>
      <c r="O111" s="188">
        <f t="shared" si="5"/>
      </c>
      <c r="P111" s="187">
        <f t="shared" si="6"/>
      </c>
      <c r="Q111" s="188">
        <f t="shared" si="1"/>
      </c>
      <c r="R111" s="187">
        <f t="shared" si="2"/>
      </c>
      <c r="S111" s="188">
        <f t="shared" si="7"/>
      </c>
      <c r="T111" s="207">
        <f t="shared" si="8"/>
      </c>
      <c r="V111" s="1"/>
    </row>
    <row r="112" spans="1:22" ht="12.75">
      <c r="A112" s="90">
        <v>96</v>
      </c>
      <c r="B112" s="301" t="s">
        <v>151</v>
      </c>
      <c r="C112" s="302"/>
      <c r="D112" s="302"/>
      <c r="E112" s="303"/>
      <c r="F112" s="302"/>
      <c r="G112" s="302"/>
      <c r="H112" s="302"/>
      <c r="I112" s="302"/>
      <c r="J112" s="304"/>
      <c r="K112" s="288"/>
      <c r="L112" s="305">
        <f t="shared" si="0"/>
      </c>
      <c r="M112" s="186">
        <f t="shared" si="3"/>
      </c>
      <c r="N112" s="187">
        <f t="shared" si="4"/>
      </c>
      <c r="O112" s="188">
        <f t="shared" si="5"/>
      </c>
      <c r="P112" s="187">
        <f t="shared" si="6"/>
      </c>
      <c r="Q112" s="188">
        <f t="shared" si="1"/>
      </c>
      <c r="R112" s="187">
        <f t="shared" si="2"/>
      </c>
      <c r="S112" s="188">
        <f t="shared" si="7"/>
      </c>
      <c r="T112" s="207">
        <f t="shared" si="8"/>
      </c>
      <c r="V112" s="1"/>
    </row>
    <row r="113" spans="1:22" ht="12.75">
      <c r="A113" s="90">
        <v>97</v>
      </c>
      <c r="B113" s="301" t="s">
        <v>151</v>
      </c>
      <c r="C113" s="302"/>
      <c r="D113" s="302"/>
      <c r="E113" s="303"/>
      <c r="F113" s="302"/>
      <c r="G113" s="302"/>
      <c r="H113" s="302"/>
      <c r="I113" s="302"/>
      <c r="J113" s="304"/>
      <c r="K113" s="288"/>
      <c r="L113" s="305">
        <f t="shared" si="0"/>
      </c>
      <c r="M113" s="186">
        <f t="shared" si="3"/>
      </c>
      <c r="N113" s="187">
        <f t="shared" si="4"/>
      </c>
      <c r="O113" s="188">
        <f t="shared" si="5"/>
      </c>
      <c r="P113" s="187">
        <f t="shared" si="6"/>
      </c>
      <c r="Q113" s="188">
        <f t="shared" si="1"/>
      </c>
      <c r="R113" s="187">
        <f t="shared" si="2"/>
      </c>
      <c r="S113" s="188">
        <f t="shared" si="7"/>
      </c>
      <c r="T113" s="207">
        <f t="shared" si="8"/>
      </c>
      <c r="V113" s="1"/>
    </row>
    <row r="114" spans="1:22" ht="12.75">
      <c r="A114" s="90">
        <v>98</v>
      </c>
      <c r="B114" s="301" t="s">
        <v>151</v>
      </c>
      <c r="C114" s="302"/>
      <c r="D114" s="302"/>
      <c r="E114" s="303"/>
      <c r="F114" s="302"/>
      <c r="G114" s="302"/>
      <c r="H114" s="302"/>
      <c r="I114" s="302"/>
      <c r="J114" s="304"/>
      <c r="K114" s="288"/>
      <c r="L114" s="305">
        <f t="shared" si="0"/>
      </c>
      <c r="M114" s="186">
        <f t="shared" si="3"/>
      </c>
      <c r="N114" s="187">
        <f t="shared" si="4"/>
      </c>
      <c r="O114" s="188">
        <f t="shared" si="5"/>
      </c>
      <c r="P114" s="187">
        <f t="shared" si="6"/>
      </c>
      <c r="Q114" s="188">
        <f t="shared" si="1"/>
      </c>
      <c r="R114" s="187">
        <f t="shared" si="2"/>
      </c>
      <c r="S114" s="188">
        <f t="shared" si="7"/>
      </c>
      <c r="T114" s="207">
        <f t="shared" si="8"/>
      </c>
      <c r="V114" s="1"/>
    </row>
    <row r="115" spans="1:22" ht="12.75">
      <c r="A115" s="90">
        <v>99</v>
      </c>
      <c r="B115" s="301" t="s">
        <v>151</v>
      </c>
      <c r="C115" s="302"/>
      <c r="D115" s="302"/>
      <c r="E115" s="303"/>
      <c r="F115" s="302"/>
      <c r="G115" s="302"/>
      <c r="H115" s="302"/>
      <c r="I115" s="302"/>
      <c r="J115" s="304"/>
      <c r="K115" s="288"/>
      <c r="L115" s="305">
        <f t="shared" si="0"/>
      </c>
      <c r="M115" s="186">
        <f t="shared" si="3"/>
      </c>
      <c r="N115" s="187">
        <f t="shared" si="4"/>
      </c>
      <c r="O115" s="188">
        <f t="shared" si="5"/>
      </c>
      <c r="P115" s="187">
        <f t="shared" si="6"/>
      </c>
      <c r="Q115" s="188">
        <f t="shared" si="1"/>
      </c>
      <c r="R115" s="187">
        <f t="shared" si="2"/>
      </c>
      <c r="S115" s="188">
        <f t="shared" si="7"/>
      </c>
      <c r="T115" s="207">
        <f t="shared" si="8"/>
      </c>
      <c r="V115" s="1"/>
    </row>
    <row r="116" spans="1:22" ht="13.5" thickBot="1">
      <c r="A116" s="66">
        <v>100</v>
      </c>
      <c r="B116" s="307" t="s">
        <v>151</v>
      </c>
      <c r="C116" s="308"/>
      <c r="D116" s="308"/>
      <c r="E116" s="309"/>
      <c r="F116" s="308"/>
      <c r="G116" s="308"/>
      <c r="H116" s="308"/>
      <c r="I116" s="308"/>
      <c r="J116" s="310"/>
      <c r="K116" s="288"/>
      <c r="L116" s="311">
        <f t="shared" si="0"/>
      </c>
      <c r="M116" s="190">
        <f t="shared" si="3"/>
      </c>
      <c r="N116" s="191">
        <f t="shared" si="4"/>
      </c>
      <c r="O116" s="192">
        <f t="shared" si="5"/>
      </c>
      <c r="P116" s="191">
        <f t="shared" si="6"/>
      </c>
      <c r="Q116" s="192">
        <f t="shared" si="1"/>
      </c>
      <c r="R116" s="191">
        <f t="shared" si="2"/>
      </c>
      <c r="S116" s="192">
        <f t="shared" si="7"/>
      </c>
      <c r="T116" s="208">
        <f t="shared" si="8"/>
      </c>
      <c r="V116" s="1"/>
    </row>
    <row r="117" spans="1:21" ht="13.5" thickTop="1">
      <c r="A117" s="40"/>
      <c r="B117" s="40"/>
      <c r="C117" s="40"/>
      <c r="D117" s="40"/>
      <c r="E117" s="40"/>
      <c r="F117" s="40"/>
      <c r="G117" s="40"/>
      <c r="H117" s="40"/>
      <c r="I117" s="40"/>
      <c r="J117" s="40"/>
      <c r="K117" s="43"/>
      <c r="L117" s="33"/>
      <c r="M117" s="33"/>
      <c r="N117" s="43"/>
      <c r="O117" s="43"/>
      <c r="P117" s="24"/>
      <c r="Q117" s="24"/>
      <c r="R117" s="24"/>
      <c r="S117" s="24"/>
      <c r="T117" s="24"/>
      <c r="U117" s="1"/>
    </row>
    <row r="118" spans="1:21" ht="12.75">
      <c r="A118" s="40"/>
      <c r="B118" s="40"/>
      <c r="C118" s="40"/>
      <c r="D118" s="40"/>
      <c r="E118" s="40"/>
      <c r="F118" s="40"/>
      <c r="G118" s="40"/>
      <c r="H118" s="40"/>
      <c r="I118" s="40"/>
      <c r="J118" s="40"/>
      <c r="K118" s="43"/>
      <c r="L118" s="33"/>
      <c r="M118" s="33"/>
      <c r="N118" s="43"/>
      <c r="O118" s="43"/>
      <c r="P118" s="24"/>
      <c r="Q118" s="24"/>
      <c r="R118" s="24"/>
      <c r="S118" s="24"/>
      <c r="T118" s="24"/>
      <c r="U118" s="1"/>
    </row>
    <row r="119" spans="1:21" s="8" customFormat="1" ht="12.75">
      <c r="A119" s="40"/>
      <c r="B119" s="40"/>
      <c r="C119" s="40"/>
      <c r="D119" s="40"/>
      <c r="E119" s="40"/>
      <c r="F119" s="40"/>
      <c r="G119" s="40"/>
      <c r="H119" s="40"/>
      <c r="I119" s="40"/>
      <c r="J119" s="40"/>
      <c r="K119" s="43"/>
      <c r="L119" s="33"/>
      <c r="M119" s="33"/>
      <c r="N119" s="43"/>
      <c r="O119" s="43"/>
      <c r="P119" s="24"/>
      <c r="Q119" s="24"/>
      <c r="R119" s="24"/>
      <c r="S119" s="24"/>
      <c r="T119" s="24"/>
      <c r="U119" s="33"/>
    </row>
    <row r="120" spans="1:21" s="8" customFormat="1" ht="12.75">
      <c r="A120" s="40"/>
      <c r="B120" s="40"/>
      <c r="C120" s="40"/>
      <c r="D120" s="40"/>
      <c r="E120" s="40"/>
      <c r="F120" s="40"/>
      <c r="G120" s="40"/>
      <c r="H120" s="40"/>
      <c r="I120" s="40"/>
      <c r="J120" s="40"/>
      <c r="K120" s="43"/>
      <c r="L120" s="33"/>
      <c r="M120" s="33"/>
      <c r="N120" s="43"/>
      <c r="O120" s="43"/>
      <c r="P120" s="24"/>
      <c r="Q120" s="24"/>
      <c r="R120" s="24"/>
      <c r="S120" s="24"/>
      <c r="T120" s="24"/>
      <c r="U120" s="33"/>
    </row>
    <row r="121" spans="1:21" s="8" customFormat="1" ht="12.75">
      <c r="A121" s="40"/>
      <c r="B121" s="40"/>
      <c r="C121" s="24"/>
      <c r="D121" s="24"/>
      <c r="E121" s="40"/>
      <c r="F121" s="40"/>
      <c r="G121" s="40"/>
      <c r="H121" s="40"/>
      <c r="I121" s="40"/>
      <c r="J121" s="40"/>
      <c r="K121" s="43"/>
      <c r="L121" s="33"/>
      <c r="M121" s="33"/>
      <c r="N121" s="43"/>
      <c r="O121" s="43"/>
      <c r="P121" s="24"/>
      <c r="Q121" s="24"/>
      <c r="R121" s="24"/>
      <c r="S121" s="24"/>
      <c r="T121" s="24"/>
      <c r="U121" s="33"/>
    </row>
    <row r="122" spans="1:21" s="8" customFormat="1" ht="12.75">
      <c r="A122" s="40"/>
      <c r="B122" s="40"/>
      <c r="C122" s="24"/>
      <c r="D122" s="24"/>
      <c r="E122" s="40"/>
      <c r="F122" s="40"/>
      <c r="G122" s="40"/>
      <c r="H122" s="40"/>
      <c r="I122" s="40"/>
      <c r="J122" s="40"/>
      <c r="K122" s="43"/>
      <c r="L122" s="33"/>
      <c r="M122" s="33"/>
      <c r="N122" s="43"/>
      <c r="O122" s="43"/>
      <c r="P122" s="24"/>
      <c r="Q122" s="24"/>
      <c r="R122" s="24"/>
      <c r="S122" s="24"/>
      <c r="T122" s="24"/>
      <c r="U122" s="33"/>
    </row>
    <row r="123" spans="1:21" s="8" customFormat="1" ht="12.75">
      <c r="A123" s="40"/>
      <c r="B123" s="40"/>
      <c r="C123" s="24"/>
      <c r="D123" s="24"/>
      <c r="E123" s="40"/>
      <c r="F123" s="40"/>
      <c r="G123" s="40"/>
      <c r="H123" s="40"/>
      <c r="I123" s="40"/>
      <c r="J123" s="40"/>
      <c r="K123" s="43"/>
      <c r="L123" s="33"/>
      <c r="M123" s="33"/>
      <c r="N123" s="43"/>
      <c r="O123" s="43"/>
      <c r="P123" s="24"/>
      <c r="Q123" s="24"/>
      <c r="R123" s="24"/>
      <c r="S123" s="24"/>
      <c r="T123" s="24"/>
      <c r="U123" s="33"/>
    </row>
    <row r="124" spans="1:21" s="8" customFormat="1" ht="12.75">
      <c r="A124" s="40"/>
      <c r="B124" s="40"/>
      <c r="C124" s="24"/>
      <c r="D124" s="24"/>
      <c r="E124" s="40"/>
      <c r="F124" s="40"/>
      <c r="G124" s="40"/>
      <c r="H124" s="40"/>
      <c r="I124" s="40"/>
      <c r="J124" s="40"/>
      <c r="K124" s="43"/>
      <c r="L124" s="33"/>
      <c r="M124" s="33"/>
      <c r="N124" s="43"/>
      <c r="O124" s="43"/>
      <c r="P124" s="24"/>
      <c r="Q124" s="24"/>
      <c r="R124" s="24"/>
      <c r="S124" s="24"/>
      <c r="T124" s="24"/>
      <c r="U124" s="33"/>
    </row>
    <row r="125" spans="1:21" s="8" customFormat="1" ht="12.75">
      <c r="A125" s="40"/>
      <c r="B125" s="40"/>
      <c r="C125" s="24"/>
      <c r="D125" s="24"/>
      <c r="E125" s="40"/>
      <c r="F125" s="40"/>
      <c r="G125" s="40"/>
      <c r="H125" s="40"/>
      <c r="I125" s="40"/>
      <c r="J125" s="40"/>
      <c r="K125" s="43"/>
      <c r="L125" s="33"/>
      <c r="M125" s="33"/>
      <c r="N125" s="43"/>
      <c r="O125" s="43"/>
      <c r="P125" s="24"/>
      <c r="Q125" s="24"/>
      <c r="R125" s="24"/>
      <c r="S125" s="24"/>
      <c r="T125" s="24"/>
      <c r="U125" s="33"/>
    </row>
    <row r="126" spans="1:21" s="8" customFormat="1" ht="12.75">
      <c r="A126" s="40"/>
      <c r="B126" s="40"/>
      <c r="C126" s="24"/>
      <c r="D126" s="24"/>
      <c r="E126" s="40"/>
      <c r="F126" s="40"/>
      <c r="G126" s="40"/>
      <c r="H126" s="40"/>
      <c r="I126" s="40"/>
      <c r="J126" s="40"/>
      <c r="K126" s="43"/>
      <c r="L126" s="33"/>
      <c r="M126" s="33"/>
      <c r="N126" s="43"/>
      <c r="O126" s="43"/>
      <c r="P126" s="24"/>
      <c r="Q126" s="24"/>
      <c r="R126" s="24"/>
      <c r="S126" s="24"/>
      <c r="T126" s="24"/>
      <c r="U126" s="33"/>
    </row>
    <row r="127" spans="1:20" s="8" customFormat="1" ht="12.75">
      <c r="A127" s="40"/>
      <c r="B127" s="40"/>
      <c r="C127" s="24"/>
      <c r="D127" s="24"/>
      <c r="E127" s="40"/>
      <c r="F127" s="40"/>
      <c r="G127" s="40"/>
      <c r="H127" s="40"/>
      <c r="I127" s="40"/>
      <c r="J127" s="40"/>
      <c r="K127" s="43"/>
      <c r="L127" s="43"/>
      <c r="M127" s="43"/>
      <c r="N127" s="24"/>
      <c r="O127" s="24"/>
      <c r="P127" s="24"/>
      <c r="R127" s="33"/>
      <c r="S127" s="33"/>
      <c r="T127" s="33"/>
    </row>
    <row r="128" spans="1:20" s="8" customFormat="1" ht="12.75">
      <c r="A128" s="40"/>
      <c r="B128" s="40"/>
      <c r="C128" s="24"/>
      <c r="D128" s="24"/>
      <c r="E128" s="40"/>
      <c r="F128" s="40"/>
      <c r="G128" s="40"/>
      <c r="H128" s="40"/>
      <c r="I128" s="40"/>
      <c r="J128" s="40"/>
      <c r="K128" s="43"/>
      <c r="L128" s="43"/>
      <c r="M128" s="43"/>
      <c r="N128" s="24"/>
      <c r="O128" s="24"/>
      <c r="P128" s="24"/>
      <c r="R128" s="33"/>
      <c r="S128" s="33"/>
      <c r="T128" s="33"/>
    </row>
    <row r="129" spans="1:20" s="8" customFormat="1" ht="12.75">
      <c r="A129" s="40"/>
      <c r="B129" s="40"/>
      <c r="C129" s="24"/>
      <c r="D129" s="24"/>
      <c r="E129" s="40"/>
      <c r="F129" s="40"/>
      <c r="G129" s="40"/>
      <c r="H129" s="40"/>
      <c r="I129" s="40"/>
      <c r="J129" s="40"/>
      <c r="K129" s="43"/>
      <c r="L129" s="43"/>
      <c r="M129" s="43"/>
      <c r="N129" s="24"/>
      <c r="O129" s="24"/>
      <c r="P129" s="24"/>
      <c r="R129" s="33"/>
      <c r="S129" s="33"/>
      <c r="T129" s="33"/>
    </row>
    <row r="130" spans="1:20" s="8" customFormat="1" ht="12.75">
      <c r="A130" s="40"/>
      <c r="B130" s="40"/>
      <c r="C130" s="24"/>
      <c r="D130" s="24"/>
      <c r="E130" s="40"/>
      <c r="F130" s="40"/>
      <c r="G130" s="40"/>
      <c r="H130" s="40"/>
      <c r="I130" s="40"/>
      <c r="J130" s="40"/>
      <c r="K130" s="43"/>
      <c r="L130" s="43"/>
      <c r="M130" s="43"/>
      <c r="N130" s="24"/>
      <c r="O130" s="24"/>
      <c r="P130" s="24"/>
      <c r="R130" s="33"/>
      <c r="S130" s="33"/>
      <c r="T130" s="33"/>
    </row>
    <row r="131" spans="1:20" s="8" customFormat="1" ht="12.75">
      <c r="A131" s="40"/>
      <c r="B131" s="40"/>
      <c r="C131" s="24"/>
      <c r="D131" s="24"/>
      <c r="E131" s="40"/>
      <c r="F131" s="40"/>
      <c r="G131" s="40"/>
      <c r="H131" s="33"/>
      <c r="I131" s="43"/>
      <c r="J131" s="43"/>
      <c r="K131" s="43"/>
      <c r="L131" s="43"/>
      <c r="M131" s="43"/>
      <c r="N131" s="24"/>
      <c r="O131" s="24"/>
      <c r="P131" s="24"/>
      <c r="R131" s="33"/>
      <c r="S131" s="33"/>
      <c r="T131" s="33"/>
    </row>
    <row r="132" spans="1:20" s="8" customFormat="1" ht="12.75">
      <c r="A132" s="40"/>
      <c r="B132" s="40"/>
      <c r="C132" s="24"/>
      <c r="D132" s="24"/>
      <c r="E132" s="40"/>
      <c r="F132" s="40"/>
      <c r="G132" s="40"/>
      <c r="H132" s="33"/>
      <c r="I132" s="43"/>
      <c r="J132" s="43"/>
      <c r="K132" s="43"/>
      <c r="L132" s="43"/>
      <c r="M132" s="43"/>
      <c r="N132" s="24"/>
      <c r="O132" s="24"/>
      <c r="P132" s="24"/>
      <c r="R132" s="33"/>
      <c r="S132" s="33"/>
      <c r="T132" s="33"/>
    </row>
    <row r="133" spans="1:20" s="8" customFormat="1" ht="12.75">
      <c r="A133" s="40"/>
      <c r="B133" s="40"/>
      <c r="C133" s="24"/>
      <c r="D133" s="24"/>
      <c r="E133" s="40"/>
      <c r="F133" s="40"/>
      <c r="G133" s="40"/>
      <c r="H133" s="33"/>
      <c r="I133" s="43"/>
      <c r="J133" s="43"/>
      <c r="K133" s="43"/>
      <c r="L133" s="43"/>
      <c r="M133" s="43"/>
      <c r="N133" s="24"/>
      <c r="O133" s="24"/>
      <c r="P133" s="24"/>
      <c r="R133" s="33"/>
      <c r="S133" s="33"/>
      <c r="T133" s="33"/>
    </row>
    <row r="134" spans="1:20" s="8" customFormat="1" ht="12.75">
      <c r="A134" s="40"/>
      <c r="B134" s="40"/>
      <c r="C134" s="24"/>
      <c r="D134" s="24"/>
      <c r="E134" s="40"/>
      <c r="F134" s="40"/>
      <c r="G134" s="40"/>
      <c r="H134" s="33"/>
      <c r="I134" s="43"/>
      <c r="J134" s="43"/>
      <c r="K134" s="43"/>
      <c r="L134" s="43"/>
      <c r="M134" s="43"/>
      <c r="N134" s="24"/>
      <c r="O134" s="24"/>
      <c r="P134" s="24"/>
      <c r="R134" s="33"/>
      <c r="S134" s="33"/>
      <c r="T134" s="33"/>
    </row>
    <row r="135" spans="1:20" s="8" customFormat="1" ht="12.75">
      <c r="A135" s="40"/>
      <c r="B135" s="40"/>
      <c r="C135" s="24"/>
      <c r="D135" s="24"/>
      <c r="E135" s="40"/>
      <c r="F135" s="40"/>
      <c r="G135" s="40"/>
      <c r="H135" s="33"/>
      <c r="I135" s="43"/>
      <c r="J135" s="43"/>
      <c r="K135" s="43"/>
      <c r="L135" s="43"/>
      <c r="M135" s="43"/>
      <c r="N135" s="24"/>
      <c r="O135" s="24"/>
      <c r="P135" s="24"/>
      <c r="R135" s="33"/>
      <c r="S135" s="33"/>
      <c r="T135" s="33"/>
    </row>
    <row r="136" spans="1:20" s="8" customFormat="1" ht="12.75">
      <c r="A136" s="40"/>
      <c r="B136" s="40"/>
      <c r="C136" s="24"/>
      <c r="D136" s="24"/>
      <c r="E136" s="40"/>
      <c r="F136" s="40"/>
      <c r="G136" s="40"/>
      <c r="H136" s="33"/>
      <c r="I136" s="43"/>
      <c r="J136" s="43"/>
      <c r="K136" s="43"/>
      <c r="L136" s="43"/>
      <c r="M136" s="43"/>
      <c r="N136" s="24"/>
      <c r="O136" s="24"/>
      <c r="P136" s="24"/>
      <c r="R136" s="33"/>
      <c r="S136" s="33"/>
      <c r="T136" s="33"/>
    </row>
    <row r="137" spans="1:20" s="8" customFormat="1" ht="12.75">
      <c r="A137" s="40"/>
      <c r="B137" s="40"/>
      <c r="C137" s="24"/>
      <c r="D137" s="24"/>
      <c r="E137" s="40"/>
      <c r="F137" s="40"/>
      <c r="G137" s="40"/>
      <c r="H137" s="33"/>
      <c r="I137" s="43"/>
      <c r="J137" s="43"/>
      <c r="K137" s="43"/>
      <c r="L137" s="43"/>
      <c r="M137" s="43"/>
      <c r="N137" s="24"/>
      <c r="O137" s="24"/>
      <c r="P137" s="24"/>
      <c r="R137" s="33"/>
      <c r="S137" s="33"/>
      <c r="T137" s="33"/>
    </row>
    <row r="138" spans="1:20" s="8" customFormat="1" ht="12.75">
      <c r="A138" s="40"/>
      <c r="B138" s="40"/>
      <c r="C138" s="24"/>
      <c r="D138" s="24"/>
      <c r="E138" s="40"/>
      <c r="F138" s="40"/>
      <c r="G138" s="40"/>
      <c r="H138" s="33"/>
      <c r="I138" s="43"/>
      <c r="J138" s="43"/>
      <c r="K138" s="43"/>
      <c r="L138" s="43"/>
      <c r="M138" s="43"/>
      <c r="N138" s="24"/>
      <c r="O138" s="24"/>
      <c r="P138" s="24"/>
      <c r="R138" s="33"/>
      <c r="S138" s="33"/>
      <c r="T138" s="33"/>
    </row>
    <row r="139" spans="1:20" s="8" customFormat="1" ht="12.75">
      <c r="A139" s="40"/>
      <c r="B139" s="40"/>
      <c r="C139" s="24"/>
      <c r="D139" s="24"/>
      <c r="E139" s="40"/>
      <c r="F139" s="40"/>
      <c r="G139" s="40"/>
      <c r="H139" s="33"/>
      <c r="I139" s="43"/>
      <c r="J139" s="43"/>
      <c r="K139" s="43"/>
      <c r="L139" s="43"/>
      <c r="M139" s="43"/>
      <c r="N139" s="24"/>
      <c r="O139" s="24"/>
      <c r="P139" s="24"/>
      <c r="R139" s="33"/>
      <c r="S139" s="33"/>
      <c r="T139" s="33"/>
    </row>
    <row r="140" spans="1:20" s="8" customFormat="1" ht="12.75">
      <c r="A140" s="40"/>
      <c r="B140" s="40"/>
      <c r="C140" s="24"/>
      <c r="D140" s="24"/>
      <c r="E140" s="40"/>
      <c r="F140" s="40"/>
      <c r="G140" s="40"/>
      <c r="H140" s="33"/>
      <c r="I140" s="43"/>
      <c r="J140" s="43"/>
      <c r="K140" s="43"/>
      <c r="L140" s="43"/>
      <c r="M140" s="43"/>
      <c r="N140" s="24"/>
      <c r="O140" s="24"/>
      <c r="P140" s="24"/>
      <c r="R140" s="33"/>
      <c r="S140" s="33"/>
      <c r="T140" s="33"/>
    </row>
    <row r="141" spans="1:20" s="8" customFormat="1" ht="12.75">
      <c r="A141" s="40"/>
      <c r="B141" s="40"/>
      <c r="C141" s="24"/>
      <c r="D141" s="24"/>
      <c r="E141" s="40"/>
      <c r="F141" s="40"/>
      <c r="G141" s="40"/>
      <c r="H141" s="33"/>
      <c r="I141" s="43"/>
      <c r="J141" s="43"/>
      <c r="K141" s="43"/>
      <c r="L141" s="43"/>
      <c r="M141" s="43"/>
      <c r="N141" s="24"/>
      <c r="O141" s="24"/>
      <c r="P141" s="24"/>
      <c r="R141" s="33"/>
      <c r="S141" s="33"/>
      <c r="T141" s="33"/>
    </row>
    <row r="142" spans="1:20" s="8" customFormat="1" ht="12.75">
      <c r="A142" s="40"/>
      <c r="B142" s="40"/>
      <c r="C142" s="24"/>
      <c r="D142" s="24"/>
      <c r="E142" s="40"/>
      <c r="F142" s="40"/>
      <c r="G142" s="40"/>
      <c r="H142" s="33"/>
      <c r="I142" s="43"/>
      <c r="J142" s="43"/>
      <c r="K142" s="43"/>
      <c r="L142" s="43"/>
      <c r="M142" s="43"/>
      <c r="N142" s="24"/>
      <c r="O142" s="24"/>
      <c r="P142" s="24"/>
      <c r="R142" s="33"/>
      <c r="S142" s="33"/>
      <c r="T142" s="33"/>
    </row>
    <row r="143" spans="1:20" s="8" customFormat="1" ht="12.75">
      <c r="A143" s="40"/>
      <c r="B143" s="40"/>
      <c r="C143" s="24"/>
      <c r="D143" s="24"/>
      <c r="E143" s="40"/>
      <c r="F143" s="40"/>
      <c r="G143" s="40"/>
      <c r="H143" s="33"/>
      <c r="I143" s="43"/>
      <c r="J143" s="43"/>
      <c r="K143" s="43"/>
      <c r="L143" s="43"/>
      <c r="M143" s="43"/>
      <c r="N143" s="24"/>
      <c r="O143" s="24"/>
      <c r="P143" s="24"/>
      <c r="R143" s="33"/>
      <c r="S143" s="33"/>
      <c r="T143" s="33"/>
    </row>
    <row r="144" spans="1:20" s="8" customFormat="1" ht="12.75">
      <c r="A144" s="40"/>
      <c r="B144" s="40"/>
      <c r="C144" s="24"/>
      <c r="D144" s="24"/>
      <c r="E144" s="40"/>
      <c r="F144" s="40"/>
      <c r="G144" s="40"/>
      <c r="H144" s="33"/>
      <c r="I144" s="43"/>
      <c r="J144" s="43"/>
      <c r="K144" s="43"/>
      <c r="L144" s="43"/>
      <c r="M144" s="43"/>
      <c r="N144" s="24"/>
      <c r="O144" s="24"/>
      <c r="P144" s="24"/>
      <c r="R144" s="33"/>
      <c r="S144" s="33"/>
      <c r="T144" s="33"/>
    </row>
    <row r="145" spans="1:20" s="8" customFormat="1" ht="12.75">
      <c r="A145" s="40"/>
      <c r="B145" s="40"/>
      <c r="C145" s="24"/>
      <c r="D145" s="24"/>
      <c r="E145" s="40"/>
      <c r="F145" s="40"/>
      <c r="G145" s="40"/>
      <c r="H145" s="33"/>
      <c r="I145" s="43"/>
      <c r="J145" s="43"/>
      <c r="K145" s="43"/>
      <c r="L145" s="43"/>
      <c r="M145" s="43"/>
      <c r="N145" s="24"/>
      <c r="O145" s="24"/>
      <c r="P145" s="24"/>
      <c r="R145" s="33"/>
      <c r="S145" s="33"/>
      <c r="T145" s="33"/>
    </row>
    <row r="146" spans="1:20" s="8" customFormat="1" ht="12.75">
      <c r="A146" s="40"/>
      <c r="B146" s="40"/>
      <c r="C146" s="24"/>
      <c r="D146" s="24"/>
      <c r="E146" s="40"/>
      <c r="F146" s="40"/>
      <c r="G146" s="40"/>
      <c r="H146" s="33"/>
      <c r="I146" s="43"/>
      <c r="J146" s="43"/>
      <c r="K146" s="43"/>
      <c r="L146" s="43"/>
      <c r="M146" s="43"/>
      <c r="N146" s="24"/>
      <c r="O146" s="24"/>
      <c r="P146" s="24"/>
      <c r="R146" s="33"/>
      <c r="S146" s="33"/>
      <c r="T146" s="33"/>
    </row>
    <row r="147" spans="1:20" s="8" customFormat="1" ht="12.75">
      <c r="A147" s="40"/>
      <c r="B147" s="40"/>
      <c r="C147" s="24"/>
      <c r="D147" s="24"/>
      <c r="E147" s="40"/>
      <c r="F147" s="40"/>
      <c r="G147" s="40"/>
      <c r="H147" s="33"/>
      <c r="I147" s="43"/>
      <c r="J147" s="43"/>
      <c r="K147" s="43"/>
      <c r="L147" s="43"/>
      <c r="M147" s="43"/>
      <c r="N147" s="24"/>
      <c r="O147" s="24"/>
      <c r="P147" s="24"/>
      <c r="R147" s="33"/>
      <c r="S147" s="33"/>
      <c r="T147" s="33"/>
    </row>
    <row r="148" spans="1:20" s="8" customFormat="1" ht="12.75">
      <c r="A148" s="40"/>
      <c r="B148" s="40"/>
      <c r="C148" s="24"/>
      <c r="D148" s="24"/>
      <c r="E148" s="40"/>
      <c r="F148" s="40"/>
      <c r="G148" s="40"/>
      <c r="H148" s="33"/>
      <c r="I148" s="43"/>
      <c r="J148" s="43"/>
      <c r="K148" s="43"/>
      <c r="L148" s="43"/>
      <c r="M148" s="43"/>
      <c r="N148" s="24"/>
      <c r="O148" s="24"/>
      <c r="P148" s="24"/>
      <c r="R148" s="33"/>
      <c r="S148" s="33"/>
      <c r="T148" s="33"/>
    </row>
    <row r="149" spans="1:20" s="8" customFormat="1" ht="12.75">
      <c r="A149" s="40"/>
      <c r="B149" s="40"/>
      <c r="C149" s="24"/>
      <c r="D149" s="24"/>
      <c r="E149" s="40"/>
      <c r="F149" s="40"/>
      <c r="G149" s="40"/>
      <c r="H149" s="33"/>
      <c r="I149" s="43"/>
      <c r="J149" s="43"/>
      <c r="K149" s="43"/>
      <c r="L149" s="43"/>
      <c r="M149" s="43"/>
      <c r="N149" s="24"/>
      <c r="O149" s="24"/>
      <c r="P149" s="24"/>
      <c r="R149" s="33"/>
      <c r="S149" s="33"/>
      <c r="T149" s="33"/>
    </row>
    <row r="150" spans="1:20" s="8" customFormat="1" ht="12.75">
      <c r="A150" s="40"/>
      <c r="B150" s="40"/>
      <c r="C150" s="24"/>
      <c r="D150" s="24"/>
      <c r="E150" s="40"/>
      <c r="F150" s="40"/>
      <c r="G150" s="40"/>
      <c r="H150" s="33"/>
      <c r="I150" s="43"/>
      <c r="J150" s="43"/>
      <c r="K150" s="43"/>
      <c r="L150" s="43"/>
      <c r="M150" s="43"/>
      <c r="N150" s="24"/>
      <c r="O150" s="24"/>
      <c r="P150" s="24"/>
      <c r="R150" s="33"/>
      <c r="S150" s="33"/>
      <c r="T150" s="33"/>
    </row>
    <row r="151" spans="1:20" s="8" customFormat="1" ht="12.75">
      <c r="A151" s="40"/>
      <c r="B151" s="40"/>
      <c r="C151" s="24"/>
      <c r="D151" s="24"/>
      <c r="E151" s="40"/>
      <c r="F151" s="40"/>
      <c r="G151" s="40"/>
      <c r="H151" s="33"/>
      <c r="I151" s="43"/>
      <c r="J151" s="43"/>
      <c r="K151" s="43"/>
      <c r="L151" s="43"/>
      <c r="M151" s="43"/>
      <c r="N151" s="24"/>
      <c r="O151" s="24"/>
      <c r="P151" s="24"/>
      <c r="R151" s="33"/>
      <c r="S151" s="33"/>
      <c r="T151" s="33"/>
    </row>
    <row r="152" spans="1:20" s="8" customFormat="1" ht="12.75">
      <c r="A152" s="40"/>
      <c r="B152" s="40"/>
      <c r="C152" s="24"/>
      <c r="D152" s="24"/>
      <c r="E152" s="40"/>
      <c r="F152" s="40"/>
      <c r="G152" s="40"/>
      <c r="H152" s="33"/>
      <c r="I152" s="43"/>
      <c r="J152" s="43"/>
      <c r="K152" s="43"/>
      <c r="L152" s="43"/>
      <c r="M152" s="43"/>
      <c r="N152" s="24"/>
      <c r="O152" s="24"/>
      <c r="P152" s="24"/>
      <c r="R152" s="33"/>
      <c r="S152" s="33"/>
      <c r="T152" s="33"/>
    </row>
    <row r="153" spans="1:20" s="8" customFormat="1" ht="12.75">
      <c r="A153" s="40"/>
      <c r="B153" s="40"/>
      <c r="C153" s="24"/>
      <c r="D153" s="24"/>
      <c r="E153" s="40"/>
      <c r="F153" s="40"/>
      <c r="G153" s="40"/>
      <c r="H153" s="33"/>
      <c r="I153" s="43"/>
      <c r="J153" s="43"/>
      <c r="K153" s="43"/>
      <c r="L153" s="43"/>
      <c r="M153" s="43"/>
      <c r="N153" s="24"/>
      <c r="O153" s="24"/>
      <c r="P153" s="24"/>
      <c r="R153" s="33"/>
      <c r="S153" s="33"/>
      <c r="T153" s="33"/>
    </row>
    <row r="154" spans="1:20" s="8" customFormat="1" ht="12.75">
      <c r="A154" s="40"/>
      <c r="B154" s="40"/>
      <c r="C154" s="24"/>
      <c r="D154" s="24"/>
      <c r="E154" s="40"/>
      <c r="F154" s="40"/>
      <c r="G154" s="40"/>
      <c r="H154" s="33"/>
      <c r="I154" s="43"/>
      <c r="J154" s="43"/>
      <c r="K154" s="43"/>
      <c r="L154" s="43"/>
      <c r="M154" s="43"/>
      <c r="N154" s="24"/>
      <c r="O154" s="24"/>
      <c r="P154" s="24"/>
      <c r="R154" s="33"/>
      <c r="S154" s="33"/>
      <c r="T154" s="33"/>
    </row>
    <row r="155" spans="1:20" s="8" customFormat="1" ht="12.75">
      <c r="A155" s="40"/>
      <c r="B155" s="40"/>
      <c r="C155" s="24"/>
      <c r="D155" s="24"/>
      <c r="E155" s="40"/>
      <c r="F155" s="40"/>
      <c r="G155" s="40"/>
      <c r="H155" s="33"/>
      <c r="I155" s="43"/>
      <c r="J155" s="43"/>
      <c r="K155" s="43"/>
      <c r="L155" s="43"/>
      <c r="M155" s="43"/>
      <c r="N155" s="24"/>
      <c r="O155" s="24"/>
      <c r="P155" s="24"/>
      <c r="R155" s="33"/>
      <c r="S155" s="33"/>
      <c r="T155" s="33"/>
    </row>
    <row r="156" spans="1:20" s="8" customFormat="1" ht="12.75">
      <c r="A156" s="40"/>
      <c r="B156" s="40"/>
      <c r="C156" s="24"/>
      <c r="D156" s="24"/>
      <c r="E156" s="40"/>
      <c r="F156" s="40"/>
      <c r="G156" s="40"/>
      <c r="H156" s="33"/>
      <c r="I156" s="43"/>
      <c r="J156" s="43"/>
      <c r="K156" s="43"/>
      <c r="L156" s="43"/>
      <c r="M156" s="43"/>
      <c r="N156" s="24"/>
      <c r="O156" s="24"/>
      <c r="P156" s="24"/>
      <c r="R156" s="33"/>
      <c r="S156" s="33"/>
      <c r="T156" s="33"/>
    </row>
    <row r="157" spans="1:20" s="8" customFormat="1" ht="12.75">
      <c r="A157" s="40"/>
      <c r="B157" s="40"/>
      <c r="C157" s="24"/>
      <c r="D157" s="24"/>
      <c r="E157" s="40"/>
      <c r="F157" s="40"/>
      <c r="G157" s="40"/>
      <c r="H157" s="33"/>
      <c r="I157" s="43"/>
      <c r="J157" s="43"/>
      <c r="K157" s="43"/>
      <c r="L157" s="43"/>
      <c r="M157" s="43"/>
      <c r="N157" s="24"/>
      <c r="O157" s="24"/>
      <c r="P157" s="24"/>
      <c r="R157" s="33"/>
      <c r="S157" s="33"/>
      <c r="T157" s="33"/>
    </row>
    <row r="158" spans="1:20" s="8" customFormat="1" ht="12.75">
      <c r="A158" s="40"/>
      <c r="B158" s="40"/>
      <c r="C158" s="24"/>
      <c r="D158" s="24"/>
      <c r="E158" s="40"/>
      <c r="F158" s="40"/>
      <c r="G158" s="40"/>
      <c r="H158" s="33"/>
      <c r="I158" s="43"/>
      <c r="J158" s="43"/>
      <c r="K158" s="43"/>
      <c r="L158" s="43"/>
      <c r="M158" s="43"/>
      <c r="N158" s="24"/>
      <c r="O158" s="24"/>
      <c r="P158" s="24"/>
      <c r="R158" s="33"/>
      <c r="S158" s="33"/>
      <c r="T158" s="33"/>
    </row>
    <row r="159" spans="1:20" s="8" customFormat="1" ht="12.75">
      <c r="A159" s="40"/>
      <c r="B159" s="40"/>
      <c r="C159" s="24"/>
      <c r="D159" s="24"/>
      <c r="E159" s="40"/>
      <c r="F159" s="40"/>
      <c r="G159" s="40"/>
      <c r="H159" s="33"/>
      <c r="I159" s="43"/>
      <c r="J159" s="43"/>
      <c r="K159" s="43"/>
      <c r="L159" s="43"/>
      <c r="M159" s="43"/>
      <c r="N159" s="24"/>
      <c r="O159" s="24"/>
      <c r="P159" s="24"/>
      <c r="R159" s="33"/>
      <c r="S159" s="33"/>
      <c r="T159" s="33"/>
    </row>
    <row r="160" spans="1:20" s="8" customFormat="1" ht="12.75">
      <c r="A160" s="40"/>
      <c r="B160" s="40"/>
      <c r="C160" s="24"/>
      <c r="D160" s="24"/>
      <c r="E160" s="40"/>
      <c r="F160" s="40"/>
      <c r="G160" s="40"/>
      <c r="H160" s="33"/>
      <c r="I160" s="43"/>
      <c r="J160" s="43"/>
      <c r="K160" s="43"/>
      <c r="L160" s="43"/>
      <c r="M160" s="43"/>
      <c r="N160" s="24"/>
      <c r="O160" s="24"/>
      <c r="P160" s="24"/>
      <c r="R160" s="33"/>
      <c r="S160" s="33"/>
      <c r="T160" s="33"/>
    </row>
    <row r="161" spans="1:20" s="8" customFormat="1" ht="12.75">
      <c r="A161" s="40"/>
      <c r="B161" s="40"/>
      <c r="C161" s="24"/>
      <c r="D161" s="24"/>
      <c r="E161" s="40"/>
      <c r="F161" s="40"/>
      <c r="G161" s="40"/>
      <c r="H161" s="33"/>
      <c r="I161" s="43"/>
      <c r="J161" s="43"/>
      <c r="K161" s="43"/>
      <c r="L161" s="43"/>
      <c r="M161" s="43"/>
      <c r="N161" s="24"/>
      <c r="O161" s="24"/>
      <c r="P161" s="24"/>
      <c r="R161" s="33"/>
      <c r="S161" s="33"/>
      <c r="T161" s="33"/>
    </row>
    <row r="162" spans="1:20" s="8" customFormat="1" ht="12.75">
      <c r="A162" s="40"/>
      <c r="B162" s="40"/>
      <c r="C162" s="24"/>
      <c r="D162" s="24"/>
      <c r="E162" s="40"/>
      <c r="F162" s="40"/>
      <c r="G162" s="40"/>
      <c r="H162" s="33"/>
      <c r="I162" s="43"/>
      <c r="J162" s="43"/>
      <c r="K162" s="43"/>
      <c r="L162" s="43"/>
      <c r="M162" s="43"/>
      <c r="N162" s="24"/>
      <c r="O162" s="24"/>
      <c r="P162" s="24"/>
      <c r="R162" s="33"/>
      <c r="S162" s="33"/>
      <c r="T162" s="33"/>
    </row>
    <row r="163" spans="1:20" s="8" customFormat="1" ht="12.75">
      <c r="A163" s="40"/>
      <c r="B163" s="40"/>
      <c r="C163" s="24"/>
      <c r="D163" s="24"/>
      <c r="E163" s="40"/>
      <c r="F163" s="40"/>
      <c r="G163" s="40"/>
      <c r="H163" s="33"/>
      <c r="I163" s="43"/>
      <c r="J163" s="43"/>
      <c r="K163" s="43"/>
      <c r="L163" s="43"/>
      <c r="M163" s="43"/>
      <c r="N163" s="24"/>
      <c r="O163" s="24"/>
      <c r="P163" s="24"/>
      <c r="R163" s="33"/>
      <c r="S163" s="33"/>
      <c r="T163" s="33"/>
    </row>
    <row r="164" spans="1:20" s="8" customFormat="1" ht="12.75">
      <c r="A164" s="40"/>
      <c r="B164" s="40"/>
      <c r="C164" s="24"/>
      <c r="D164" s="24"/>
      <c r="E164" s="40"/>
      <c r="F164" s="40"/>
      <c r="G164" s="40"/>
      <c r="H164" s="33"/>
      <c r="I164" s="43"/>
      <c r="J164" s="43"/>
      <c r="K164" s="43"/>
      <c r="L164" s="43"/>
      <c r="M164" s="43"/>
      <c r="N164" s="24"/>
      <c r="O164" s="24"/>
      <c r="P164" s="24"/>
      <c r="R164" s="33"/>
      <c r="S164" s="33"/>
      <c r="T164" s="33"/>
    </row>
    <row r="165" spans="1:20" s="8" customFormat="1" ht="12.75">
      <c r="A165" s="40"/>
      <c r="B165" s="40"/>
      <c r="C165" s="24"/>
      <c r="D165" s="24"/>
      <c r="E165" s="40"/>
      <c r="F165" s="40"/>
      <c r="G165" s="40"/>
      <c r="H165" s="33"/>
      <c r="I165" s="43"/>
      <c r="J165" s="43"/>
      <c r="K165" s="43"/>
      <c r="L165" s="43"/>
      <c r="M165" s="43"/>
      <c r="N165" s="24"/>
      <c r="O165" s="24"/>
      <c r="P165" s="24"/>
      <c r="R165" s="33"/>
      <c r="S165" s="33"/>
      <c r="T165" s="33"/>
    </row>
    <row r="166" spans="1:20" s="8" customFormat="1" ht="12.75">
      <c r="A166" s="40"/>
      <c r="B166" s="40"/>
      <c r="C166" s="24"/>
      <c r="D166" s="24"/>
      <c r="E166" s="40"/>
      <c r="F166" s="40"/>
      <c r="G166" s="40"/>
      <c r="H166" s="33"/>
      <c r="I166" s="43"/>
      <c r="J166" s="43"/>
      <c r="K166" s="43"/>
      <c r="L166" s="43"/>
      <c r="M166" s="43"/>
      <c r="N166" s="24"/>
      <c r="O166" s="24"/>
      <c r="P166" s="24"/>
      <c r="R166" s="33"/>
      <c r="S166" s="33"/>
      <c r="T166" s="33"/>
    </row>
    <row r="167" spans="1:20" s="8" customFormat="1" ht="12.75">
      <c r="A167" s="40"/>
      <c r="B167" s="40"/>
      <c r="C167" s="24"/>
      <c r="D167" s="24"/>
      <c r="E167" s="40"/>
      <c r="F167" s="40"/>
      <c r="G167" s="40"/>
      <c r="H167" s="33"/>
      <c r="I167" s="43"/>
      <c r="J167" s="43"/>
      <c r="K167" s="43"/>
      <c r="L167" s="43"/>
      <c r="M167" s="43"/>
      <c r="N167" s="24"/>
      <c r="O167" s="24"/>
      <c r="P167" s="24"/>
      <c r="R167" s="33"/>
      <c r="S167" s="33"/>
      <c r="T167" s="33"/>
    </row>
    <row r="168" spans="1:20" s="8" customFormat="1" ht="12.75">
      <c r="A168" s="40"/>
      <c r="B168" s="40"/>
      <c r="C168" s="40"/>
      <c r="D168" s="40"/>
      <c r="E168" s="40"/>
      <c r="F168" s="40"/>
      <c r="G168" s="40"/>
      <c r="H168" s="33"/>
      <c r="I168" s="43"/>
      <c r="J168" s="43"/>
      <c r="K168" s="43"/>
      <c r="L168" s="43"/>
      <c r="M168" s="43"/>
      <c r="N168" s="24"/>
      <c r="O168" s="24"/>
      <c r="P168" s="24"/>
      <c r="R168" s="33"/>
      <c r="S168" s="33"/>
      <c r="T168" s="33"/>
    </row>
    <row r="169" spans="1:20" s="8" customFormat="1" ht="12.75">
      <c r="A169" s="40"/>
      <c r="B169" s="40"/>
      <c r="C169" s="40"/>
      <c r="D169" s="40"/>
      <c r="E169" s="40"/>
      <c r="F169" s="40"/>
      <c r="G169" s="40"/>
      <c r="H169" s="33"/>
      <c r="I169" s="43"/>
      <c r="J169" s="43"/>
      <c r="K169" s="43"/>
      <c r="L169" s="43"/>
      <c r="M169" s="43"/>
      <c r="N169" s="24"/>
      <c r="O169" s="24"/>
      <c r="P169" s="24"/>
      <c r="R169" s="33"/>
      <c r="S169" s="33"/>
      <c r="T169" s="33"/>
    </row>
    <row r="170" spans="1:20" s="8" customFormat="1" ht="12.75">
      <c r="A170" s="40"/>
      <c r="B170" s="40"/>
      <c r="C170" s="40"/>
      <c r="D170" s="40"/>
      <c r="E170" s="40"/>
      <c r="F170" s="40"/>
      <c r="G170" s="40"/>
      <c r="H170" s="33"/>
      <c r="I170" s="43"/>
      <c r="J170" s="43"/>
      <c r="K170" s="43"/>
      <c r="L170" s="43"/>
      <c r="M170" s="43"/>
      <c r="N170" s="24"/>
      <c r="O170" s="24"/>
      <c r="P170" s="24"/>
      <c r="R170" s="33"/>
      <c r="S170" s="33"/>
      <c r="T170" s="33"/>
    </row>
    <row r="171" spans="1:20" s="8" customFormat="1" ht="12.75">
      <c r="A171" s="40"/>
      <c r="B171" s="40"/>
      <c r="C171" s="40"/>
      <c r="D171" s="40"/>
      <c r="E171" s="40"/>
      <c r="F171" s="40"/>
      <c r="G171" s="40"/>
      <c r="H171" s="33"/>
      <c r="I171" s="43"/>
      <c r="J171" s="43"/>
      <c r="K171" s="43"/>
      <c r="L171" s="43"/>
      <c r="M171" s="43"/>
      <c r="N171" s="24"/>
      <c r="O171" s="24"/>
      <c r="P171" s="24"/>
      <c r="R171" s="33"/>
      <c r="S171" s="33"/>
      <c r="T171" s="33"/>
    </row>
    <row r="172" spans="1:20" s="8" customFormat="1" ht="12.75">
      <c r="A172" s="40"/>
      <c r="B172" s="40"/>
      <c r="C172" s="40"/>
      <c r="D172" s="40"/>
      <c r="E172" s="40"/>
      <c r="F172" s="40"/>
      <c r="G172" s="40"/>
      <c r="H172" s="33"/>
      <c r="I172" s="43"/>
      <c r="J172" s="43"/>
      <c r="K172" s="43"/>
      <c r="L172" s="43"/>
      <c r="M172" s="43"/>
      <c r="N172" s="24"/>
      <c r="O172" s="24"/>
      <c r="P172" s="24"/>
      <c r="R172" s="33"/>
      <c r="S172" s="33"/>
      <c r="T172" s="33"/>
    </row>
    <row r="173" spans="1:20" s="8" customFormat="1" ht="12.75">
      <c r="A173" s="40"/>
      <c r="B173" s="40"/>
      <c r="C173" s="40"/>
      <c r="D173" s="40"/>
      <c r="E173" s="40"/>
      <c r="F173" s="40"/>
      <c r="G173" s="40"/>
      <c r="H173" s="33"/>
      <c r="I173" s="43"/>
      <c r="J173" s="43"/>
      <c r="K173" s="43"/>
      <c r="L173" s="43"/>
      <c r="M173" s="43"/>
      <c r="N173" s="24"/>
      <c r="O173" s="24"/>
      <c r="P173" s="24"/>
      <c r="R173" s="33"/>
      <c r="S173" s="33"/>
      <c r="T173" s="33"/>
    </row>
    <row r="174" spans="1:20" s="8" customFormat="1" ht="12.75">
      <c r="A174" s="40"/>
      <c r="B174" s="40"/>
      <c r="C174" s="40"/>
      <c r="D174" s="40"/>
      <c r="E174" s="40"/>
      <c r="F174" s="40"/>
      <c r="G174" s="40"/>
      <c r="H174" s="33"/>
      <c r="I174" s="43"/>
      <c r="J174" s="43"/>
      <c r="K174" s="43"/>
      <c r="L174" s="43"/>
      <c r="M174" s="43"/>
      <c r="N174" s="24"/>
      <c r="O174" s="24"/>
      <c r="P174" s="24"/>
      <c r="R174" s="33"/>
      <c r="S174" s="33"/>
      <c r="T174" s="33"/>
    </row>
    <row r="175" spans="1:20" s="8" customFormat="1" ht="12.75">
      <c r="A175" s="40"/>
      <c r="B175" s="40"/>
      <c r="C175" s="40"/>
      <c r="D175" s="40"/>
      <c r="E175" s="40"/>
      <c r="F175" s="40"/>
      <c r="G175" s="40"/>
      <c r="H175" s="33"/>
      <c r="I175" s="43"/>
      <c r="J175" s="43"/>
      <c r="K175" s="43"/>
      <c r="L175" s="43"/>
      <c r="M175" s="43"/>
      <c r="N175" s="24"/>
      <c r="O175" s="24"/>
      <c r="P175" s="24"/>
      <c r="R175" s="33"/>
      <c r="S175" s="33"/>
      <c r="T175" s="33"/>
    </row>
    <row r="176" spans="1:20" s="8" customFormat="1" ht="12.75">
      <c r="A176" s="40"/>
      <c r="B176" s="40"/>
      <c r="C176" s="40"/>
      <c r="D176" s="40"/>
      <c r="E176" s="40"/>
      <c r="F176" s="40"/>
      <c r="G176" s="40"/>
      <c r="H176" s="33"/>
      <c r="I176" s="43"/>
      <c r="J176" s="43"/>
      <c r="K176" s="43"/>
      <c r="L176" s="43"/>
      <c r="M176" s="43"/>
      <c r="N176" s="24"/>
      <c r="O176" s="24"/>
      <c r="P176" s="24"/>
      <c r="R176" s="33"/>
      <c r="S176" s="33"/>
      <c r="T176" s="33"/>
    </row>
    <row r="177" spans="1:20" s="8" customFormat="1" ht="12.75">
      <c r="A177" s="40"/>
      <c r="B177" s="40"/>
      <c r="C177" s="40"/>
      <c r="D177" s="40"/>
      <c r="E177" s="40"/>
      <c r="F177" s="40"/>
      <c r="G177" s="40"/>
      <c r="H177" s="33"/>
      <c r="I177" s="43"/>
      <c r="J177" s="43"/>
      <c r="K177" s="43"/>
      <c r="L177" s="43"/>
      <c r="M177" s="43"/>
      <c r="N177" s="24"/>
      <c r="O177" s="24"/>
      <c r="P177" s="24"/>
      <c r="R177" s="33"/>
      <c r="S177" s="33"/>
      <c r="T177" s="33"/>
    </row>
    <row r="178" spans="1:20" s="8" customFormat="1" ht="12.75">
      <c r="A178" s="40"/>
      <c r="B178" s="40"/>
      <c r="C178" s="40"/>
      <c r="D178" s="40"/>
      <c r="E178" s="40"/>
      <c r="F178" s="40"/>
      <c r="G178" s="40"/>
      <c r="H178" s="33"/>
      <c r="I178" s="43"/>
      <c r="J178" s="43"/>
      <c r="K178" s="43"/>
      <c r="L178" s="43"/>
      <c r="M178" s="43"/>
      <c r="N178" s="24"/>
      <c r="O178" s="24"/>
      <c r="P178" s="24"/>
      <c r="R178" s="33"/>
      <c r="S178" s="33"/>
      <c r="T178" s="33"/>
    </row>
    <row r="179" spans="1:20" s="8" customFormat="1" ht="12.75">
      <c r="A179" s="40"/>
      <c r="B179" s="40"/>
      <c r="C179" s="40"/>
      <c r="D179" s="40"/>
      <c r="E179" s="40"/>
      <c r="F179" s="40"/>
      <c r="G179" s="40"/>
      <c r="H179" s="33"/>
      <c r="I179" s="43"/>
      <c r="J179" s="43"/>
      <c r="K179" s="43"/>
      <c r="L179" s="43"/>
      <c r="M179" s="43"/>
      <c r="N179" s="24"/>
      <c r="O179" s="24"/>
      <c r="P179" s="24"/>
      <c r="R179" s="33"/>
      <c r="S179" s="33"/>
      <c r="T179" s="33"/>
    </row>
  </sheetData>
  <sheetProtection sheet="1" objects="1" scenarios="1"/>
  <mergeCells count="20">
    <mergeCell ref="Q14:R14"/>
    <mergeCell ref="S14:T14"/>
    <mergeCell ref="L14:L15"/>
    <mergeCell ref="M14:N14"/>
    <mergeCell ref="O14:O15"/>
    <mergeCell ref="P14:P15"/>
    <mergeCell ref="A13:J13"/>
    <mergeCell ref="L13:T13"/>
    <mergeCell ref="V13:W14"/>
    <mergeCell ref="Y13:Z14"/>
    <mergeCell ref="A14:A15"/>
    <mergeCell ref="B14:B15"/>
    <mergeCell ref="C14:D14"/>
    <mergeCell ref="E14:G14"/>
    <mergeCell ref="H14:I14"/>
    <mergeCell ref="J14:J15"/>
    <mergeCell ref="C6:D6"/>
    <mergeCell ref="L6:M6"/>
    <mergeCell ref="C8:D8"/>
    <mergeCell ref="C9:D9"/>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AB204"/>
  <sheetViews>
    <sheetView zoomScale="50" zoomScaleNormal="50" workbookViewId="0" topLeftCell="D1">
      <pane ySplit="36" topLeftCell="BM37" activePane="bottomLeft" state="frozen"/>
      <selection pane="topLeft" activeCell="A1" sqref="A1"/>
      <selection pane="bottomLeft" activeCell="B3" sqref="B3"/>
    </sheetView>
  </sheetViews>
  <sheetFormatPr defaultColWidth="9.140625" defaultRowHeight="12.75"/>
  <cols>
    <col min="1" max="1" width="29.140625" style="7" customWidth="1"/>
    <col min="2" max="3" width="25.7109375" style="7" customWidth="1"/>
    <col min="4" max="7" width="20.7109375" style="7" customWidth="1"/>
    <col min="8" max="8" width="3.7109375" style="7" customWidth="1"/>
    <col min="9" max="9" width="20.7109375" style="1" customWidth="1"/>
    <col min="10" max="10" width="20.7109375" style="41" customWidth="1"/>
    <col min="11" max="11" width="20.7109375" style="4" customWidth="1"/>
    <col min="12" max="13" width="20.7109375" style="41" customWidth="1"/>
    <col min="14" max="14" width="20.7109375" style="4" customWidth="1"/>
    <col min="15" max="15" width="3.7109375" style="4" customWidth="1"/>
    <col min="16" max="16" width="25.7109375" style="4" customWidth="1"/>
    <col min="17" max="17" width="25.7109375" style="41" customWidth="1"/>
    <col min="18" max="18" width="3.7109375" style="41" customWidth="1"/>
    <col min="19" max="19" width="14.7109375" style="41" bestFit="1" customWidth="1"/>
    <col min="20" max="20" width="12.7109375" style="41" bestFit="1" customWidth="1"/>
    <col min="21" max="21" width="12.00390625" style="0" bestFit="1" customWidth="1"/>
    <col min="22" max="22" width="15.421875" style="0" bestFit="1" customWidth="1"/>
    <col min="23" max="23" width="18.421875" style="1" customWidth="1"/>
    <col min="24" max="24" width="18.7109375" style="1" customWidth="1"/>
    <col min="25" max="25" width="2.7109375" style="0" customWidth="1"/>
    <col min="26" max="26" width="15.140625" style="1" customWidth="1"/>
    <col min="27" max="27" width="17.140625" style="0" bestFit="1" customWidth="1"/>
    <col min="28" max="28" width="1.421875" style="0" customWidth="1"/>
    <col min="29" max="29" width="20.8515625" style="0" customWidth="1"/>
    <col min="30" max="30" width="10.8515625" style="0" customWidth="1"/>
  </cols>
  <sheetData>
    <row r="1" spans="1:26" s="17" customFormat="1" ht="54" customHeight="1" thickBot="1">
      <c r="A1" s="35" t="s">
        <v>157</v>
      </c>
      <c r="B1" s="35"/>
      <c r="C1" s="35"/>
      <c r="F1" s="36"/>
      <c r="G1" s="36"/>
      <c r="H1" s="36"/>
      <c r="I1" s="36"/>
      <c r="J1" s="80"/>
      <c r="K1" s="37"/>
      <c r="L1" s="80"/>
      <c r="M1" s="80"/>
      <c r="N1" s="38"/>
      <c r="O1" s="38"/>
      <c r="P1" s="38"/>
      <c r="Q1" s="80"/>
      <c r="R1" s="80"/>
      <c r="S1" s="80"/>
      <c r="T1" s="80"/>
      <c r="W1" s="36"/>
      <c r="X1" s="36"/>
      <c r="Z1" s="36"/>
    </row>
    <row r="2" spans="1:26" s="17" customFormat="1" ht="27" customHeight="1" thickBot="1" thickTop="1">
      <c r="A2" s="50" t="s">
        <v>108</v>
      </c>
      <c r="B2" s="322" t="s">
        <v>161</v>
      </c>
      <c r="F2" s="36"/>
      <c r="G2" s="36"/>
      <c r="H2" s="36"/>
      <c r="I2" s="36"/>
      <c r="J2" s="80"/>
      <c r="K2" s="37"/>
      <c r="L2" s="80"/>
      <c r="M2" s="80"/>
      <c r="N2" s="38"/>
      <c r="O2" s="38"/>
      <c r="R2" s="80"/>
      <c r="S2" s="80"/>
      <c r="T2" s="80"/>
      <c r="W2" s="36"/>
      <c r="X2" s="36"/>
      <c r="Z2" s="36"/>
    </row>
    <row r="3" spans="1:26" s="17" customFormat="1" ht="14.25" customHeight="1" thickBot="1" thickTop="1">
      <c r="A3" s="397" t="s">
        <v>126</v>
      </c>
      <c r="B3" s="323">
        <v>0</v>
      </c>
      <c r="C3" s="398" t="s">
        <v>93</v>
      </c>
      <c r="D3" s="399"/>
      <c r="F3" s="36"/>
      <c r="G3" s="36"/>
      <c r="H3" s="36"/>
      <c r="I3" s="36"/>
      <c r="J3" s="80"/>
      <c r="K3" s="37"/>
      <c r="L3" s="80"/>
      <c r="M3" s="80"/>
      <c r="N3" s="38"/>
      <c r="O3" s="38"/>
      <c r="R3" s="80"/>
      <c r="S3" s="80"/>
      <c r="T3" s="80"/>
      <c r="W3" s="36"/>
      <c r="X3" s="36"/>
      <c r="Z3" s="36"/>
    </row>
    <row r="4" spans="1:25" ht="14.25" thickBot="1" thickTop="1">
      <c r="A4" s="397"/>
      <c r="B4" s="322" t="s">
        <v>161</v>
      </c>
      <c r="E4" s="1"/>
      <c r="G4" s="1"/>
      <c r="H4" s="1"/>
      <c r="J4" s="42"/>
      <c r="N4" s="13"/>
      <c r="O4" s="13"/>
      <c r="W4" s="2"/>
      <c r="X4" s="2"/>
      <c r="Y4" s="3"/>
    </row>
    <row r="5" spans="1:25" ht="14.25" thickBot="1" thickTop="1">
      <c r="A5" s="50"/>
      <c r="B5" s="287"/>
      <c r="C5" s="34"/>
      <c r="D5" s="34"/>
      <c r="E5" s="1"/>
      <c r="G5" s="1"/>
      <c r="H5" s="1"/>
      <c r="J5" s="42"/>
      <c r="N5" s="13"/>
      <c r="O5" s="13"/>
      <c r="W5" s="2"/>
      <c r="X5" s="2"/>
      <c r="Y5" s="3"/>
    </row>
    <row r="6" spans="1:25" ht="14.25" thickBot="1" thickTop="1">
      <c r="A6" s="50" t="s">
        <v>105</v>
      </c>
      <c r="B6" s="323">
        <v>15</v>
      </c>
      <c r="C6" s="400" t="s">
        <v>123</v>
      </c>
      <c r="D6" s="401"/>
      <c r="E6" s="5"/>
      <c r="F6" s="1"/>
      <c r="G6" s="1"/>
      <c r="H6" s="1"/>
      <c r="J6" s="42"/>
      <c r="K6" s="13"/>
      <c r="L6" s="42"/>
      <c r="M6" s="42"/>
      <c r="N6" s="13"/>
      <c r="O6" s="13"/>
      <c r="R6" s="42"/>
      <c r="S6" s="42"/>
      <c r="T6" s="42"/>
      <c r="Y6" s="1"/>
    </row>
    <row r="7" spans="1:20" ht="14.25" thickBot="1" thickTop="1">
      <c r="A7" s="50" t="s">
        <v>106</v>
      </c>
      <c r="B7" s="323">
        <v>1000</v>
      </c>
      <c r="E7" s="1"/>
      <c r="F7" s="1"/>
      <c r="I7"/>
      <c r="J7" s="42"/>
      <c r="K7" s="13"/>
      <c r="L7" s="42"/>
      <c r="M7" s="42"/>
      <c r="N7" s="13"/>
      <c r="O7" s="13"/>
      <c r="R7" s="42"/>
      <c r="S7" s="42"/>
      <c r="T7" s="42"/>
    </row>
    <row r="8" spans="1:20" ht="14.25" thickBot="1" thickTop="1">
      <c r="A8" s="50" t="s">
        <v>107</v>
      </c>
      <c r="B8" s="323">
        <v>1000</v>
      </c>
      <c r="I8"/>
      <c r="J8" s="42"/>
      <c r="K8" s="13"/>
      <c r="L8" s="42"/>
      <c r="M8" s="42"/>
      <c r="N8" s="13"/>
      <c r="O8" s="13"/>
      <c r="R8" s="42"/>
      <c r="S8" s="42"/>
      <c r="T8" s="42"/>
    </row>
    <row r="9" spans="1:20" ht="14.25" thickBot="1" thickTop="1">
      <c r="A9" s="51"/>
      <c r="I9"/>
      <c r="J9" s="42"/>
      <c r="K9" s="13"/>
      <c r="L9" s="42"/>
      <c r="M9" s="42"/>
      <c r="N9" s="13"/>
      <c r="O9" s="13"/>
      <c r="R9" s="42"/>
      <c r="S9" s="42"/>
      <c r="T9" s="42"/>
    </row>
    <row r="10" spans="1:20" ht="14.25" thickBot="1" thickTop="1">
      <c r="A10" s="51"/>
      <c r="B10" s="271" t="s">
        <v>98</v>
      </c>
      <c r="C10" s="272" t="s">
        <v>99</v>
      </c>
      <c r="H10" s="84"/>
      <c r="I10"/>
      <c r="J10" s="42"/>
      <c r="K10" s="13"/>
      <c r="L10" s="42"/>
      <c r="M10" s="42"/>
      <c r="N10" s="13"/>
      <c r="O10" s="13"/>
      <c r="R10" s="42"/>
      <c r="S10" s="42"/>
      <c r="T10" s="42"/>
    </row>
    <row r="11" spans="1:20" ht="12.75">
      <c r="A11" s="50" t="s">
        <v>125</v>
      </c>
      <c r="B11" s="264">
        <v>1000</v>
      </c>
      <c r="C11" s="270">
        <v>1000</v>
      </c>
      <c r="D11" s="21"/>
      <c r="H11" s="1"/>
      <c r="J11" s="42"/>
      <c r="K11" s="13"/>
      <c r="L11" s="42"/>
      <c r="M11" s="42"/>
      <c r="N11" s="13"/>
      <c r="O11" s="13"/>
      <c r="R11" s="42"/>
      <c r="S11" s="42"/>
      <c r="T11" s="42"/>
    </row>
    <row r="12" spans="1:20" ht="12.75">
      <c r="A12" s="50" t="s">
        <v>76</v>
      </c>
      <c r="B12" s="209">
        <v>978.3837256123011</v>
      </c>
      <c r="C12" s="210">
        <v>997.1168324186053</v>
      </c>
      <c r="J12" s="42"/>
      <c r="K12" s="13"/>
      <c r="L12" s="42"/>
      <c r="M12" s="42"/>
      <c r="N12" s="13"/>
      <c r="O12" s="13"/>
      <c r="Q12" s="42"/>
      <c r="R12" s="42"/>
      <c r="S12" s="42"/>
      <c r="T12" s="42"/>
    </row>
    <row r="13" spans="1:20" ht="13.5" thickBot="1">
      <c r="A13" s="50" t="s">
        <v>77</v>
      </c>
      <c r="B13" s="211">
        <v>1000</v>
      </c>
      <c r="C13" s="212">
        <v>1000</v>
      </c>
      <c r="D13" s="21"/>
      <c r="H13" s="55"/>
      <c r="J13" s="42"/>
      <c r="K13" s="13"/>
      <c r="L13" s="42"/>
      <c r="M13" s="42"/>
      <c r="N13" s="13"/>
      <c r="O13" s="13"/>
      <c r="Q13" s="42"/>
      <c r="R13" s="42"/>
      <c r="S13" s="42"/>
      <c r="T13" s="42"/>
    </row>
    <row r="14" spans="1:20" ht="14.25" thickBot="1" thickTop="1">
      <c r="A14" s="15"/>
      <c r="B14" s="44"/>
      <c r="C14" s="44"/>
      <c r="D14" s="21"/>
      <c r="H14" s="46"/>
      <c r="J14" s="42"/>
      <c r="K14" s="13"/>
      <c r="L14" s="42"/>
      <c r="M14" s="42"/>
      <c r="N14" s="13"/>
      <c r="O14" s="13"/>
      <c r="Q14" s="42"/>
      <c r="R14" s="42"/>
      <c r="S14" s="42"/>
      <c r="T14" s="42"/>
    </row>
    <row r="15" spans="1:20" ht="14.25" thickBot="1" thickTop="1">
      <c r="A15" s="1"/>
      <c r="B15" s="1"/>
      <c r="C15" s="273" t="s">
        <v>92</v>
      </c>
      <c r="D15" s="21"/>
      <c r="E15" s="15"/>
      <c r="F15" s="86"/>
      <c r="G15" s="55"/>
      <c r="H15" s="46"/>
      <c r="J15" s="42"/>
      <c r="K15" s="13"/>
      <c r="L15" s="42"/>
      <c r="M15" s="42"/>
      <c r="N15" s="13"/>
      <c r="O15" s="13"/>
      <c r="Q15" s="42"/>
      <c r="R15" s="42"/>
      <c r="S15" s="42"/>
      <c r="T15" s="42"/>
    </row>
    <row r="16" spans="1:20" ht="13.5" thickTop="1">
      <c r="A16" s="397" t="s">
        <v>83</v>
      </c>
      <c r="B16" s="213">
        <v>892298.3480535112</v>
      </c>
      <c r="C16" s="214" t="s">
        <v>148</v>
      </c>
      <c r="D16" s="21"/>
      <c r="E16" s="15"/>
      <c r="F16" s="86"/>
      <c r="G16" s="55"/>
      <c r="H16" s="46"/>
      <c r="J16" s="42"/>
      <c r="K16" s="13"/>
      <c r="L16" s="42"/>
      <c r="M16" s="42"/>
      <c r="N16" s="13"/>
      <c r="O16" s="13"/>
      <c r="Q16" s="42"/>
      <c r="R16" s="42"/>
      <c r="S16" s="42"/>
      <c r="T16" s="42"/>
    </row>
    <row r="17" spans="1:20" ht="12.75">
      <c r="A17" s="397"/>
      <c r="B17" s="215">
        <v>20.4843514245526</v>
      </c>
      <c r="C17" s="214" t="s">
        <v>149</v>
      </c>
      <c r="D17" s="21"/>
      <c r="E17" s="15"/>
      <c r="F17" s="86"/>
      <c r="G17" s="55"/>
      <c r="H17" s="46"/>
      <c r="J17" s="42"/>
      <c r="K17" s="13"/>
      <c r="L17" s="42"/>
      <c r="M17" s="42"/>
      <c r="N17" s="13"/>
      <c r="O17" s="13"/>
      <c r="Q17" s="42"/>
      <c r="R17" s="42"/>
      <c r="S17" s="42"/>
      <c r="T17" s="42"/>
    </row>
    <row r="18" spans="1:20" ht="28.5" customHeight="1" thickBot="1">
      <c r="A18" s="98" t="s">
        <v>109</v>
      </c>
      <c r="B18" s="216">
        <v>4028.142268276212</v>
      </c>
      <c r="C18" s="217" t="s">
        <v>150</v>
      </c>
      <c r="D18" s="21"/>
      <c r="E18" s="15"/>
      <c r="F18" s="86"/>
      <c r="G18" s="55"/>
      <c r="H18" s="46"/>
      <c r="J18" s="42"/>
      <c r="K18" s="13"/>
      <c r="L18" s="42"/>
      <c r="M18" s="42"/>
      <c r="N18" s="13"/>
      <c r="O18" s="13"/>
      <c r="Q18" s="42"/>
      <c r="R18" s="42"/>
      <c r="S18" s="42"/>
      <c r="T18" s="42"/>
    </row>
    <row r="19" spans="4:20" ht="14.25" thickBot="1" thickTop="1">
      <c r="D19" s="21"/>
      <c r="E19" s="15"/>
      <c r="F19" s="86"/>
      <c r="G19" s="55"/>
      <c r="H19" s="46"/>
      <c r="J19" s="42"/>
      <c r="K19" s="13"/>
      <c r="L19" s="42"/>
      <c r="M19" s="42"/>
      <c r="N19" s="13"/>
      <c r="O19" s="13"/>
      <c r="Q19" s="42"/>
      <c r="R19" s="42"/>
      <c r="S19" s="42"/>
      <c r="T19" s="42"/>
    </row>
    <row r="20" spans="1:20" ht="28.5" customHeight="1" thickBot="1" thickTop="1">
      <c r="A20" s="50" t="s">
        <v>135</v>
      </c>
      <c r="B20" s="218">
        <v>47</v>
      </c>
      <c r="D20" s="21"/>
      <c r="E20" s="15"/>
      <c r="F20" s="86"/>
      <c r="G20" s="55"/>
      <c r="H20" s="46"/>
      <c r="J20" s="42"/>
      <c r="K20" s="13"/>
      <c r="L20" s="42"/>
      <c r="M20" s="42"/>
      <c r="N20" s="13"/>
      <c r="O20" s="13"/>
      <c r="Q20" s="42"/>
      <c r="R20" s="42"/>
      <c r="S20" s="42"/>
      <c r="T20" s="42"/>
    </row>
    <row r="21" spans="4:20" ht="14.25" thickBot="1" thickTop="1">
      <c r="D21" s="21"/>
      <c r="E21" s="15"/>
      <c r="F21" s="86"/>
      <c r="G21" s="55"/>
      <c r="H21" s="46"/>
      <c r="J21" s="42"/>
      <c r="K21" s="13"/>
      <c r="L21" s="42"/>
      <c r="M21" s="42"/>
      <c r="N21" s="13"/>
      <c r="O21" s="13"/>
      <c r="Q21" s="42"/>
      <c r="R21" s="42"/>
      <c r="S21" s="42"/>
      <c r="T21" s="42"/>
    </row>
    <row r="22" spans="1:20" ht="28.5" customHeight="1" thickTop="1">
      <c r="A22" s="85" t="s">
        <v>75</v>
      </c>
      <c r="B22" s="219">
        <v>21.807704457523222</v>
      </c>
      <c r="C22" s="220" t="s">
        <v>150</v>
      </c>
      <c r="D22" s="21"/>
      <c r="E22" s="15"/>
      <c r="F22" s="86"/>
      <c r="G22" s="55"/>
      <c r="H22" s="46"/>
      <c r="J22" s="42"/>
      <c r="K22" s="13"/>
      <c r="L22" s="42"/>
      <c r="M22" s="42"/>
      <c r="N22" s="13"/>
      <c r="O22" s="13"/>
      <c r="Q22" s="42"/>
      <c r="R22" s="42"/>
      <c r="S22" s="42"/>
      <c r="T22" s="42"/>
    </row>
    <row r="23" spans="1:20" ht="28.5" customHeight="1" thickBot="1">
      <c r="A23" s="15" t="s">
        <v>89</v>
      </c>
      <c r="B23" s="221">
        <v>0.005413836703154859</v>
      </c>
      <c r="C23" s="222">
        <v>184.71188822840926</v>
      </c>
      <c r="F23" s="53"/>
      <c r="J23" s="42"/>
      <c r="K23" s="13"/>
      <c r="L23" s="42"/>
      <c r="M23" s="42"/>
      <c r="N23" s="13"/>
      <c r="O23" s="13"/>
      <c r="Q23" s="42"/>
      <c r="R23" s="42"/>
      <c r="S23" s="42"/>
      <c r="T23" s="42"/>
    </row>
    <row r="24" spans="10:20" ht="14.25" thickBot="1" thickTop="1">
      <c r="J24" s="42"/>
      <c r="K24" s="13"/>
      <c r="L24" s="42"/>
      <c r="M24" s="42"/>
      <c r="N24" s="13"/>
      <c r="O24" s="13"/>
      <c r="Q24" s="42"/>
      <c r="R24" s="42"/>
      <c r="S24" s="42"/>
      <c r="T24" s="42"/>
    </row>
    <row r="25" spans="1:20" ht="16.5" thickTop="1">
      <c r="A25" s="392" t="s">
        <v>112</v>
      </c>
      <c r="B25" s="393"/>
      <c r="C25" s="393"/>
      <c r="D25" s="394"/>
      <c r="F25" s="55"/>
      <c r="I25" s="2"/>
      <c r="J25" s="42"/>
      <c r="K25" s="13"/>
      <c r="L25" s="42"/>
      <c r="M25" s="42"/>
      <c r="N25" s="13"/>
      <c r="O25" s="13"/>
      <c r="Q25" s="42"/>
      <c r="R25" s="42"/>
      <c r="S25" s="42"/>
      <c r="T25" s="42"/>
    </row>
    <row r="26" spans="1:20" ht="13.5" thickBot="1">
      <c r="A26" s="395"/>
      <c r="B26" s="396"/>
      <c r="C26" s="280" t="s">
        <v>118</v>
      </c>
      <c r="D26" s="281"/>
      <c r="F26" s="55"/>
      <c r="I26" s="2"/>
      <c r="J26" s="42"/>
      <c r="K26" s="13"/>
      <c r="L26" s="42"/>
      <c r="M26" s="42"/>
      <c r="N26" s="13"/>
      <c r="O26" s="13"/>
      <c r="Q26" s="42"/>
      <c r="R26" s="42"/>
      <c r="S26" s="42"/>
      <c r="T26" s="42"/>
    </row>
    <row r="27" spans="1:20" ht="14.25" thickBot="1" thickTop="1">
      <c r="A27" s="381" t="s">
        <v>78</v>
      </c>
      <c r="B27" s="382"/>
      <c r="C27" s="224" t="s">
        <v>165</v>
      </c>
      <c r="D27" s="225" t="s">
        <v>151</v>
      </c>
      <c r="J27" s="42"/>
      <c r="K27" s="13"/>
      <c r="L27" s="42"/>
      <c r="M27" s="42"/>
      <c r="N27" s="13"/>
      <c r="O27" s="13"/>
      <c r="P27" s="362" t="s">
        <v>91</v>
      </c>
      <c r="Q27" s="363"/>
      <c r="R27" s="42"/>
      <c r="S27" s="42"/>
      <c r="T27" s="42"/>
    </row>
    <row r="28" spans="1:20" ht="13.5" thickTop="1">
      <c r="A28" s="381" t="s">
        <v>79</v>
      </c>
      <c r="B28" s="382"/>
      <c r="C28" s="224" t="s">
        <v>113</v>
      </c>
      <c r="D28" s="225" t="s">
        <v>151</v>
      </c>
      <c r="J28" s="42"/>
      <c r="K28" s="13"/>
      <c r="L28" s="42"/>
      <c r="M28" s="42"/>
      <c r="N28" s="13"/>
      <c r="O28" s="13"/>
      <c r="P28" s="246" t="s">
        <v>90</v>
      </c>
      <c r="Q28" s="315">
        <v>0</v>
      </c>
      <c r="R28" s="42"/>
      <c r="S28" s="42"/>
      <c r="T28" s="42"/>
    </row>
    <row r="29" spans="1:20" ht="12.75">
      <c r="A29" s="381" t="s">
        <v>80</v>
      </c>
      <c r="B29" s="382"/>
      <c r="C29" s="224" t="s">
        <v>114</v>
      </c>
      <c r="D29" s="225" t="s">
        <v>151</v>
      </c>
      <c r="G29" s="52"/>
      <c r="H29" s="52"/>
      <c r="J29" s="42"/>
      <c r="K29" s="13"/>
      <c r="L29" s="42"/>
      <c r="M29" s="42"/>
      <c r="N29" s="13"/>
      <c r="O29" s="13"/>
      <c r="P29" s="247" t="s">
        <v>47</v>
      </c>
      <c r="Q29" s="317">
        <v>800</v>
      </c>
      <c r="R29" s="42"/>
      <c r="S29" s="42"/>
      <c r="T29" s="42"/>
    </row>
    <row r="30" spans="1:20" ht="12.75">
      <c r="A30" s="381" t="s">
        <v>81</v>
      </c>
      <c r="B30" s="382"/>
      <c r="C30" s="224" t="s">
        <v>115</v>
      </c>
      <c r="D30" s="225" t="s">
        <v>151</v>
      </c>
      <c r="J30" s="42"/>
      <c r="K30" s="13"/>
      <c r="L30" s="42"/>
      <c r="M30" s="42"/>
      <c r="N30" s="13"/>
      <c r="O30" s="13"/>
      <c r="P30" s="247" t="s">
        <v>48</v>
      </c>
      <c r="Q30" s="317">
        <v>200</v>
      </c>
      <c r="R30" s="42"/>
      <c r="S30" s="42"/>
      <c r="T30" s="42"/>
    </row>
    <row r="31" spans="1:20" ht="12.75">
      <c r="A31" s="381" t="s">
        <v>82</v>
      </c>
      <c r="B31" s="382"/>
      <c r="C31" s="224" t="s">
        <v>116</v>
      </c>
      <c r="D31" s="225" t="s">
        <v>151</v>
      </c>
      <c r="J31" s="42"/>
      <c r="K31" s="13"/>
      <c r="L31" s="42"/>
      <c r="M31" s="42"/>
      <c r="N31" s="13"/>
      <c r="O31" s="13"/>
      <c r="P31" s="248" t="s">
        <v>87</v>
      </c>
      <c r="Q31" s="317">
        <v>20</v>
      </c>
      <c r="R31" s="42"/>
      <c r="S31" s="42"/>
      <c r="T31" s="42"/>
    </row>
    <row r="32" spans="1:20" ht="13.5" thickBot="1">
      <c r="A32" s="383" t="s">
        <v>119</v>
      </c>
      <c r="B32" s="383"/>
      <c r="C32" s="226" t="s">
        <v>117</v>
      </c>
      <c r="D32" s="227" t="s">
        <v>152</v>
      </c>
      <c r="J32" s="42"/>
      <c r="K32" s="13"/>
      <c r="L32" s="42"/>
      <c r="M32" s="42"/>
      <c r="N32" s="13"/>
      <c r="O32" s="13"/>
      <c r="P32" s="249" t="s">
        <v>88</v>
      </c>
      <c r="Q32" s="320">
        <v>0.25</v>
      </c>
      <c r="R32" s="42"/>
      <c r="S32" s="42"/>
      <c r="T32" s="42"/>
    </row>
    <row r="33" spans="1:20" ht="14.25" thickBot="1" thickTop="1">
      <c r="A33" s="47"/>
      <c r="B33" s="6"/>
      <c r="C33" s="48"/>
      <c r="D33" s="49"/>
      <c r="J33" s="42"/>
      <c r="K33" s="13"/>
      <c r="L33" s="42"/>
      <c r="M33" s="42"/>
      <c r="N33" s="13"/>
      <c r="O33" s="13"/>
      <c r="Q33" s="42"/>
      <c r="R33" s="42"/>
      <c r="S33" s="42"/>
      <c r="T33" s="42"/>
    </row>
    <row r="34" spans="1:26" ht="18.75" thickTop="1">
      <c r="A34" s="384" t="s">
        <v>4</v>
      </c>
      <c r="B34" s="387" t="s">
        <v>155</v>
      </c>
      <c r="C34" s="388"/>
      <c r="D34" s="388"/>
      <c r="E34" s="388"/>
      <c r="F34" s="388"/>
      <c r="G34" s="389"/>
      <c r="H34" s="81"/>
      <c r="I34" s="390" t="s">
        <v>156</v>
      </c>
      <c r="J34" s="390"/>
      <c r="K34" s="390"/>
      <c r="L34" s="390"/>
      <c r="M34" s="390"/>
      <c r="N34" s="390"/>
      <c r="O34" s="87"/>
      <c r="P34" s="364" t="s">
        <v>86</v>
      </c>
      <c r="Q34" s="365"/>
      <c r="R34"/>
      <c r="S34" s="368" t="s">
        <v>49</v>
      </c>
      <c r="T34" s="365"/>
      <c r="W34"/>
      <c r="X34"/>
      <c r="Z34"/>
    </row>
    <row r="35" spans="1:26" ht="12.75">
      <c r="A35" s="385"/>
      <c r="B35" s="371" t="s">
        <v>5</v>
      </c>
      <c r="C35" s="373" t="s">
        <v>1</v>
      </c>
      <c r="D35" s="371" t="s">
        <v>72</v>
      </c>
      <c r="E35" s="375" t="s">
        <v>74</v>
      </c>
      <c r="F35" s="377" t="s">
        <v>73</v>
      </c>
      <c r="G35" s="378"/>
      <c r="H35" s="82"/>
      <c r="I35" s="379" t="s">
        <v>5</v>
      </c>
      <c r="J35" s="375" t="s">
        <v>1</v>
      </c>
      <c r="K35" s="371" t="s">
        <v>72</v>
      </c>
      <c r="L35" s="375" t="s">
        <v>74</v>
      </c>
      <c r="M35" s="391" t="s">
        <v>73</v>
      </c>
      <c r="N35" s="378"/>
      <c r="O35" s="82"/>
      <c r="P35" s="366"/>
      <c r="Q35" s="367"/>
      <c r="R35"/>
      <c r="S35" s="369"/>
      <c r="T35" s="370"/>
      <c r="W35"/>
      <c r="X35"/>
      <c r="Z35"/>
    </row>
    <row r="36" spans="1:26" ht="13.5" thickBot="1">
      <c r="A36" s="386"/>
      <c r="B36" s="372"/>
      <c r="C36" s="374"/>
      <c r="D36" s="372"/>
      <c r="E36" s="376"/>
      <c r="F36" s="228" t="s">
        <v>98</v>
      </c>
      <c r="G36" s="229" t="s">
        <v>99</v>
      </c>
      <c r="H36" s="82"/>
      <c r="I36" s="380"/>
      <c r="J36" s="376"/>
      <c r="K36" s="372"/>
      <c r="L36" s="376"/>
      <c r="M36" s="240" t="s">
        <v>98</v>
      </c>
      <c r="N36" s="241" t="s">
        <v>99</v>
      </c>
      <c r="O36" s="82"/>
      <c r="P36" s="250" t="s">
        <v>84</v>
      </c>
      <c r="Q36" s="252" t="s">
        <v>85</v>
      </c>
      <c r="R36"/>
      <c r="S36" s="250" t="s">
        <v>103</v>
      </c>
      <c r="T36" s="251" t="s">
        <v>104</v>
      </c>
      <c r="W36"/>
      <c r="X36"/>
      <c r="Z36"/>
    </row>
    <row r="37" spans="1:26" ht="12.75">
      <c r="A37" s="230" t="s">
        <v>15</v>
      </c>
      <c r="B37" s="231" t="s">
        <v>16</v>
      </c>
      <c r="C37" s="232" t="s">
        <v>16</v>
      </c>
      <c r="D37" s="231" t="s">
        <v>16</v>
      </c>
      <c r="E37" s="233" t="s">
        <v>16</v>
      </c>
      <c r="F37" s="234">
        <v>1000</v>
      </c>
      <c r="G37" s="234">
        <v>1000</v>
      </c>
      <c r="H37" s="82"/>
      <c r="I37" s="242" t="s">
        <v>16</v>
      </c>
      <c r="J37" s="242" t="s">
        <v>16</v>
      </c>
      <c r="K37" s="243" t="s">
        <v>16</v>
      </c>
      <c r="L37" s="244" t="s">
        <v>16</v>
      </c>
      <c r="M37" s="245">
        <v>1000</v>
      </c>
      <c r="N37" s="245">
        <v>1000</v>
      </c>
      <c r="O37" s="27"/>
      <c r="P37" s="253">
        <v>1075071.6564676058</v>
      </c>
      <c r="Q37" s="254">
        <v>925573.3921926632</v>
      </c>
      <c r="R37"/>
      <c r="S37" s="181">
        <v>1646.9811395260285</v>
      </c>
      <c r="T37" s="182">
        <v>840.008738597996</v>
      </c>
      <c r="U37" s="17"/>
      <c r="V37" s="24"/>
      <c r="W37" s="24"/>
      <c r="X37"/>
      <c r="Z37"/>
    </row>
    <row r="38" spans="1:26" ht="12.75">
      <c r="A38" s="235">
        <v>1</v>
      </c>
      <c r="B38" s="234">
        <v>106.06</v>
      </c>
      <c r="C38" s="234">
        <v>300</v>
      </c>
      <c r="D38" s="236">
        <v>-74.99574521264523</v>
      </c>
      <c r="E38" s="237">
        <v>74.99574521264523</v>
      </c>
      <c r="F38" s="234">
        <v>925.0042547873547</v>
      </c>
      <c r="G38" s="234">
        <v>1074.9957452126453</v>
      </c>
      <c r="H38" s="83"/>
      <c r="I38" s="245">
        <v>105.71222045959196</v>
      </c>
      <c r="J38" s="245">
        <v>300.24721582315146</v>
      </c>
      <c r="K38" s="188">
        <v>-74.42660780733688</v>
      </c>
      <c r="L38" s="187">
        <v>75.07165646760589</v>
      </c>
      <c r="M38" s="245">
        <v>925.5733921926632</v>
      </c>
      <c r="N38" s="245">
        <v>1075.0716564676059</v>
      </c>
      <c r="O38" s="83"/>
      <c r="P38" s="253">
        <v>1003224.9646790548</v>
      </c>
      <c r="Q38" s="254">
        <v>935759.5742287758</v>
      </c>
      <c r="R38"/>
      <c r="S38" s="181">
        <v>1723.6227685523422</v>
      </c>
      <c r="T38" s="182">
        <v>1000.7523680120124</v>
      </c>
      <c r="U38" s="17"/>
      <c r="V38" s="24"/>
      <c r="W38" s="24"/>
      <c r="X38"/>
      <c r="Z38"/>
    </row>
    <row r="39" spans="1:26" ht="12.75">
      <c r="A39" s="235">
        <v>2</v>
      </c>
      <c r="B39" s="234">
        <v>56.15</v>
      </c>
      <c r="C39" s="234">
        <v>264</v>
      </c>
      <c r="D39" s="236">
        <v>-55.45870032441698</v>
      </c>
      <c r="E39" s="237">
        <v>8.78379521200897</v>
      </c>
      <c r="F39" s="234">
        <v>869.5455544629377</v>
      </c>
      <c r="G39" s="234">
        <v>1083.7795404246542</v>
      </c>
      <c r="H39" s="83"/>
      <c r="I39" s="245">
        <v>55.85875283481882</v>
      </c>
      <c r="J39" s="245">
        <v>264.08906321384245</v>
      </c>
      <c r="K39" s="188">
        <v>-55.15738912973412</v>
      </c>
      <c r="L39" s="187">
        <v>8.82398394448154</v>
      </c>
      <c r="M39" s="245">
        <v>870.416003062929</v>
      </c>
      <c r="N39" s="245">
        <v>1083.8956404120875</v>
      </c>
      <c r="O39" s="83"/>
      <c r="P39" s="253">
        <v>937493.9916440068</v>
      </c>
      <c r="Q39" s="254">
        <v>858565.4705285167</v>
      </c>
      <c r="R39"/>
      <c r="S39" s="181">
        <v>1733.282026815233</v>
      </c>
      <c r="T39" s="182">
        <v>998.1641775609872</v>
      </c>
      <c r="U39" s="17"/>
      <c r="V39" s="24"/>
      <c r="W39" s="24"/>
      <c r="X39"/>
      <c r="Z39"/>
    </row>
    <row r="40" spans="1:26" ht="12.75">
      <c r="A40" s="235">
        <v>3</v>
      </c>
      <c r="B40" s="234">
        <v>79.03</v>
      </c>
      <c r="C40" s="234">
        <v>250</v>
      </c>
      <c r="D40" s="236">
        <v>-78.72926699019065</v>
      </c>
      <c r="E40" s="237">
        <v>-6.887918349347407</v>
      </c>
      <c r="F40" s="234">
        <v>790.816287472747</v>
      </c>
      <c r="G40" s="234">
        <v>1076.8916220753067</v>
      </c>
      <c r="H40" s="83"/>
      <c r="I40" s="245">
        <v>78.60259675968253</v>
      </c>
      <c r="J40" s="245">
        <v>250.01413231488107</v>
      </c>
      <c r="K40" s="188">
        <v>-78.30517752063079</v>
      </c>
      <c r="L40" s="187">
        <v>-6.831353513598392</v>
      </c>
      <c r="M40" s="245">
        <v>792.1108255422982</v>
      </c>
      <c r="N40" s="245">
        <v>1077.0642868984892</v>
      </c>
      <c r="O40" s="83"/>
      <c r="P40" s="253">
        <v>829335.9382450004</v>
      </c>
      <c r="Q40" s="254">
        <v>807146.8128337293</v>
      </c>
      <c r="R40"/>
      <c r="S40" s="181">
        <v>1749.1699782277801</v>
      </c>
      <c r="T40" s="182">
        <v>1054.3335778166845</v>
      </c>
      <c r="U40" s="17"/>
      <c r="V40" s="24"/>
      <c r="W40" s="24"/>
      <c r="X40"/>
      <c r="Z40"/>
    </row>
    <row r="41" spans="1:26" ht="12.75">
      <c r="A41" s="235">
        <v>4</v>
      </c>
      <c r="B41" s="234">
        <v>52.49</v>
      </c>
      <c r="C41" s="234">
        <v>220</v>
      </c>
      <c r="D41" s="236">
        <v>-42.99729080472919</v>
      </c>
      <c r="E41" s="237">
        <v>-30.107027144066397</v>
      </c>
      <c r="F41" s="234">
        <v>747.8189966680178</v>
      </c>
      <c r="G41" s="234">
        <v>1046.7845949312402</v>
      </c>
      <c r="H41" s="83"/>
      <c r="I41" s="245">
        <v>52.23788360716012</v>
      </c>
      <c r="J41" s="245">
        <v>219.85655168656297</v>
      </c>
      <c r="K41" s="188">
        <v>-42.71561984107998</v>
      </c>
      <c r="L41" s="187">
        <v>-30.069458015527033</v>
      </c>
      <c r="M41" s="245">
        <v>749.3952057012183</v>
      </c>
      <c r="N41" s="245">
        <v>1046.994828882962</v>
      </c>
      <c r="O41" s="83"/>
      <c r="P41" s="253">
        <v>694042.3307663626</v>
      </c>
      <c r="Q41" s="254">
        <v>703178.3557684729</v>
      </c>
      <c r="R41"/>
      <c r="S41" s="181">
        <v>1713.9635102894515</v>
      </c>
      <c r="T41" s="182">
        <v>1003.3405584630376</v>
      </c>
      <c r="U41" s="17"/>
      <c r="V41" s="24"/>
      <c r="W41" s="24"/>
      <c r="X41"/>
      <c r="Z41"/>
    </row>
    <row r="42" spans="1:26" ht="13.5" thickBot="1">
      <c r="A42" s="235">
        <v>5</v>
      </c>
      <c r="B42" s="234">
        <v>144.23</v>
      </c>
      <c r="C42" s="234">
        <v>198</v>
      </c>
      <c r="D42" s="236">
        <v>-78.55328802021734</v>
      </c>
      <c r="E42" s="237">
        <v>-120.9614560147685</v>
      </c>
      <c r="F42" s="234">
        <v>669.2657086478005</v>
      </c>
      <c r="G42" s="234">
        <v>925.8231389164717</v>
      </c>
      <c r="H42" s="83"/>
      <c r="I42" s="245">
        <v>143.72311470589256</v>
      </c>
      <c r="J42" s="245">
        <v>197.76364631884258</v>
      </c>
      <c r="K42" s="188">
        <v>-77.77932339672475</v>
      </c>
      <c r="L42" s="187">
        <v>-120.85822501059185</v>
      </c>
      <c r="M42" s="245">
        <v>671.6158823044935</v>
      </c>
      <c r="N42" s="245">
        <v>926.1366038723703</v>
      </c>
      <c r="O42" s="83"/>
      <c r="P42" s="253">
        <v>597367.9099889484</v>
      </c>
      <c r="Q42" s="254">
        <v>517783.27878442366</v>
      </c>
      <c r="R42"/>
      <c r="S42" s="183">
        <v>1723.6227685523422</v>
      </c>
      <c r="T42" s="184">
        <v>1000.7523680120124</v>
      </c>
      <c r="V42" s="24"/>
      <c r="W42" s="24"/>
      <c r="X42"/>
      <c r="Z42"/>
    </row>
    <row r="43" spans="1:26" ht="13.5" thickTop="1">
      <c r="A43" s="235">
        <v>6</v>
      </c>
      <c r="B43" s="234">
        <v>119</v>
      </c>
      <c r="C43" s="234">
        <v>237</v>
      </c>
      <c r="D43" s="236">
        <v>-113.17572543912327</v>
      </c>
      <c r="E43" s="237">
        <v>-36.77302233061878</v>
      </c>
      <c r="F43" s="234">
        <v>556.0899832086772</v>
      </c>
      <c r="G43" s="234">
        <v>889.050116585853</v>
      </c>
      <c r="H43" s="83"/>
      <c r="I43" s="245">
        <v>118.36641559015413</v>
      </c>
      <c r="J43" s="245">
        <v>236.9436916297036</v>
      </c>
      <c r="K43" s="188">
        <v>-112.53714962136263</v>
      </c>
      <c r="L43" s="187">
        <v>-36.68784941585056</v>
      </c>
      <c r="M43" s="245">
        <v>559.078732683131</v>
      </c>
      <c r="N43" s="245">
        <v>889.4487544565197</v>
      </c>
      <c r="O43" s="83"/>
      <c r="P43" s="253">
        <v>501168.49448805867</v>
      </c>
      <c r="Q43" s="254">
        <v>409991.7268103342</v>
      </c>
      <c r="R43"/>
      <c r="V43" s="8"/>
      <c r="W43" s="8"/>
      <c r="X43"/>
      <c r="Z43"/>
    </row>
    <row r="44" spans="1:26" ht="12.75">
      <c r="A44" s="235">
        <v>7</v>
      </c>
      <c r="B44" s="234">
        <v>98.9</v>
      </c>
      <c r="C44" s="234">
        <v>259</v>
      </c>
      <c r="D44" s="236">
        <v>-98.65908457069662</v>
      </c>
      <c r="E44" s="237">
        <v>6.898915253294015</v>
      </c>
      <c r="F44" s="234">
        <v>457.43089863798053</v>
      </c>
      <c r="G44" s="234">
        <v>895.949031839147</v>
      </c>
      <c r="H44" s="83"/>
      <c r="I44" s="245">
        <v>98.37557396794041</v>
      </c>
      <c r="J44" s="245">
        <v>259.0626886419657</v>
      </c>
      <c r="K44" s="188">
        <v>-98.12836903812075</v>
      </c>
      <c r="L44" s="187">
        <v>6.969701818592984</v>
      </c>
      <c r="M44" s="245">
        <v>460.9503636450102</v>
      </c>
      <c r="N44" s="245">
        <v>896.4184562751127</v>
      </c>
      <c r="O44" s="83"/>
      <c r="P44" s="253">
        <v>420064.3340068067</v>
      </c>
      <c r="Q44" s="254">
        <v>329814.2722935663</v>
      </c>
      <c r="R44"/>
      <c r="W44"/>
      <c r="X44"/>
      <c r="Z44"/>
    </row>
    <row r="45" spans="1:26" ht="12.75">
      <c r="A45" s="235">
        <v>8</v>
      </c>
      <c r="B45" s="234">
        <v>94.7</v>
      </c>
      <c r="C45" s="234">
        <v>264</v>
      </c>
      <c r="D45" s="236">
        <v>-93.53408585435955</v>
      </c>
      <c r="E45" s="237">
        <v>14.814343839309874</v>
      </c>
      <c r="F45" s="234">
        <v>363.896812783621</v>
      </c>
      <c r="G45" s="234">
        <v>910.7633756784569</v>
      </c>
      <c r="H45" s="83"/>
      <c r="I45" s="245">
        <v>94.20879596540237</v>
      </c>
      <c r="J45" s="245">
        <v>264.08906321384245</v>
      </c>
      <c r="K45" s="188">
        <v>-93.02590829182229</v>
      </c>
      <c r="L45" s="187">
        <v>14.88212430173467</v>
      </c>
      <c r="M45" s="245">
        <v>367.9244553531879</v>
      </c>
      <c r="N45" s="245">
        <v>911.3005805768473</v>
      </c>
      <c r="O45" s="83"/>
      <c r="P45" s="253">
        <v>321950.170639062</v>
      </c>
      <c r="Q45" s="254">
        <v>288353.68251341034</v>
      </c>
      <c r="R45"/>
      <c r="V45" s="13"/>
      <c r="W45" s="13"/>
      <c r="X45"/>
      <c r="Z45"/>
    </row>
    <row r="46" spans="1:26" ht="12.75">
      <c r="A46" s="235">
        <v>9</v>
      </c>
      <c r="B46" s="234">
        <v>63.29</v>
      </c>
      <c r="C46" s="234">
        <v>220</v>
      </c>
      <c r="D46" s="236">
        <v>-51.84413288305031</v>
      </c>
      <c r="E46" s="237">
        <v>-36.30165265665769</v>
      </c>
      <c r="F46" s="234">
        <v>312.0526799005707</v>
      </c>
      <c r="G46" s="234">
        <v>874.4617230217992</v>
      </c>
      <c r="H46" s="83"/>
      <c r="I46" s="245">
        <v>62.98600978276175</v>
      </c>
      <c r="J46" s="245">
        <v>219.85655168656297</v>
      </c>
      <c r="K46" s="188">
        <v>-51.50450713930181</v>
      </c>
      <c r="L46" s="187">
        <v>-36.25635354929902</v>
      </c>
      <c r="M46" s="245">
        <v>316.4199482138861</v>
      </c>
      <c r="N46" s="245">
        <v>875.0442270275483</v>
      </c>
      <c r="O46" s="83"/>
      <c r="P46" s="253">
        <v>227612.4876604906</v>
      </c>
      <c r="Q46" s="254">
        <v>182287.41741524465</v>
      </c>
      <c r="R46"/>
      <c r="V46" s="13"/>
      <c r="W46" s="13"/>
      <c r="X46"/>
      <c r="Z46"/>
    </row>
    <row r="47" spans="1:26" ht="12.75">
      <c r="A47" s="235">
        <v>10</v>
      </c>
      <c r="B47" s="234">
        <v>190.25</v>
      </c>
      <c r="C47" s="234">
        <v>200</v>
      </c>
      <c r="D47" s="236">
        <v>-109.12291701578657</v>
      </c>
      <c r="E47" s="237">
        <v>-155.84367642598065</v>
      </c>
      <c r="F47" s="234">
        <v>202.9297628847841</v>
      </c>
      <c r="G47" s="234">
        <v>718.6180465958186</v>
      </c>
      <c r="H47" s="83"/>
      <c r="I47" s="245">
        <v>189.55439935747515</v>
      </c>
      <c r="J47" s="245">
        <v>199.77082695910804</v>
      </c>
      <c r="K47" s="188">
        <v>-108.10200063487092</v>
      </c>
      <c r="L47" s="187">
        <v>-155.70750712316843</v>
      </c>
      <c r="M47" s="245">
        <v>208.31794757901514</v>
      </c>
      <c r="N47" s="245">
        <v>719.33671990438</v>
      </c>
      <c r="O47" s="83"/>
      <c r="P47" s="253">
        <v>142682.8136027228</v>
      </c>
      <c r="Q47" s="254">
        <v>120527.1690367914</v>
      </c>
      <c r="R47"/>
      <c r="V47" s="13"/>
      <c r="W47" s="13"/>
      <c r="X47"/>
      <c r="Z47"/>
    </row>
    <row r="48" spans="1:26" ht="12.75">
      <c r="A48" s="235">
        <v>11</v>
      </c>
      <c r="B48" s="234">
        <v>53.59</v>
      </c>
      <c r="C48" s="234">
        <v>215</v>
      </c>
      <c r="D48" s="236">
        <v>-41.052321706746035</v>
      </c>
      <c r="E48" s="237">
        <v>-34.44698800310164</v>
      </c>
      <c r="F48" s="234">
        <v>161.87744117803808</v>
      </c>
      <c r="G48" s="234">
        <v>684.1710585927169</v>
      </c>
      <c r="H48" s="83"/>
      <c r="I48" s="245">
        <v>53.34527721073739</v>
      </c>
      <c r="J48" s="245">
        <v>214.83302055405784</v>
      </c>
      <c r="K48" s="188">
        <v>-40.76474794142005</v>
      </c>
      <c r="L48" s="187">
        <v>-34.408631561904755</v>
      </c>
      <c r="M48" s="245">
        <v>167.5531996375951</v>
      </c>
      <c r="N48" s="245">
        <v>684.9280883424752</v>
      </c>
      <c r="O48" s="83"/>
      <c r="P48" s="253">
        <v>100254.7623582728</v>
      </c>
      <c r="Q48" s="254">
        <v>83565.26627749964</v>
      </c>
      <c r="R48"/>
      <c r="W48"/>
      <c r="X48"/>
      <c r="Z48"/>
    </row>
    <row r="49" spans="1:26" ht="12.75">
      <c r="A49" s="235">
        <v>12</v>
      </c>
      <c r="B49" s="234">
        <v>98.14</v>
      </c>
      <c r="C49" s="234">
        <v>193</v>
      </c>
      <c r="D49" s="236">
        <v>-46.07393917180732</v>
      </c>
      <c r="E49" s="237">
        <v>-86.6524767631751</v>
      </c>
      <c r="F49" s="234">
        <v>115.80350200623076</v>
      </c>
      <c r="G49" s="234">
        <v>597.5185818295419</v>
      </c>
      <c r="H49" s="83"/>
      <c r="I49" s="245">
        <v>97.83169213454144</v>
      </c>
      <c r="J49" s="245">
        <v>192.7469860403296</v>
      </c>
      <c r="K49" s="188">
        <v>-45.54730193857178</v>
      </c>
      <c r="L49" s="187">
        <v>-86.5822341593486</v>
      </c>
      <c r="M49" s="245">
        <v>122.00589769902332</v>
      </c>
      <c r="N49" s="245">
        <v>598.3458541831267</v>
      </c>
      <c r="O49" s="83"/>
      <c r="P49" s="253">
        <v>67430.20208142506</v>
      </c>
      <c r="Q49" s="254">
        <v>56741.25249824665</v>
      </c>
      <c r="R49"/>
      <c r="W49"/>
      <c r="X49"/>
      <c r="Z49"/>
    </row>
    <row r="50" spans="1:26" ht="12.75">
      <c r="A50" s="235">
        <v>13</v>
      </c>
      <c r="B50" s="234">
        <v>53.32</v>
      </c>
      <c r="C50" s="234">
        <v>196</v>
      </c>
      <c r="D50" s="236">
        <v>-27.461830154204105</v>
      </c>
      <c r="E50" s="237">
        <v>-45.704160473436616</v>
      </c>
      <c r="F50" s="234">
        <v>88.34167185202665</v>
      </c>
      <c r="G50" s="234">
        <v>551.8144213561052</v>
      </c>
      <c r="H50" s="83"/>
      <c r="I50" s="245">
        <v>53.14040142888967</v>
      </c>
      <c r="J50" s="245">
        <v>195.7567566860414</v>
      </c>
      <c r="K50" s="188">
        <v>-27.175705258380596</v>
      </c>
      <c r="L50" s="187">
        <v>-45.66599728171021</v>
      </c>
      <c r="M50" s="245">
        <v>94.83019244064272</v>
      </c>
      <c r="N50" s="245">
        <v>552.6798569014164</v>
      </c>
      <c r="O50" s="83"/>
      <c r="P50" s="253">
        <v>46979.7690452894</v>
      </c>
      <c r="Q50" s="254">
        <v>37149.73944685675</v>
      </c>
      <c r="R50"/>
      <c r="W50"/>
      <c r="X50"/>
      <c r="Z50"/>
    </row>
    <row r="51" spans="1:26" ht="12.75">
      <c r="A51" s="235">
        <v>14</v>
      </c>
      <c r="B51" s="234">
        <v>63.77</v>
      </c>
      <c r="C51" s="234">
        <v>191</v>
      </c>
      <c r="D51" s="236">
        <v>-27.954928030739488</v>
      </c>
      <c r="E51" s="237">
        <v>-57.31609633249787</v>
      </c>
      <c r="F51" s="234">
        <v>60.38674382128716</v>
      </c>
      <c r="G51" s="234">
        <v>494.4983250236073</v>
      </c>
      <c r="H51" s="83"/>
      <c r="I51" s="245">
        <v>63.57961567546706</v>
      </c>
      <c r="J51" s="245">
        <v>190.74085962955758</v>
      </c>
      <c r="K51" s="188">
        <v>-27.61272651898658</v>
      </c>
      <c r="L51" s="187">
        <v>-57.270453670525015</v>
      </c>
      <c r="M51" s="245">
        <v>67.21746592165614</v>
      </c>
      <c r="N51" s="245">
        <v>495.4094032308914</v>
      </c>
      <c r="O51" s="83"/>
      <c r="P51" s="253">
        <v>32475.729900377006</v>
      </c>
      <c r="Q51" s="254">
        <v>31817.686837302314</v>
      </c>
      <c r="R51"/>
      <c r="S51" s="1"/>
      <c r="T51"/>
      <c r="W51"/>
      <c r="X51"/>
      <c r="Z51"/>
    </row>
    <row r="52" spans="1:26" ht="12.75">
      <c r="A52" s="235">
        <v>15</v>
      </c>
      <c r="B52" s="234">
        <v>12.65</v>
      </c>
      <c r="C52" s="234">
        <v>179</v>
      </c>
      <c r="D52" s="236">
        <v>-3.060311979335798</v>
      </c>
      <c r="E52" s="237">
        <v>-12.274240937391356</v>
      </c>
      <c r="F52" s="234">
        <v>57.32643184195136</v>
      </c>
      <c r="G52" s="234">
        <v>482.22408408621595</v>
      </c>
      <c r="H52" s="83"/>
      <c r="I52" s="245">
        <v>12.624953232936994</v>
      </c>
      <c r="J52" s="245">
        <v>178.71102074120165</v>
      </c>
      <c r="K52" s="188">
        <v>-2.992429760052839</v>
      </c>
      <c r="L52" s="187">
        <v>-12.26518684182986</v>
      </c>
      <c r="M52" s="245">
        <v>64.2250361616033</v>
      </c>
      <c r="N52" s="245">
        <v>483.14421638906157</v>
      </c>
      <c r="O52" s="83"/>
      <c r="P52" s="253">
        <v>29460.6289169426</v>
      </c>
      <c r="Q52" s="254">
        <v>62023.092123418784</v>
      </c>
      <c r="R52"/>
      <c r="S52" s="33"/>
      <c r="T52" s="8"/>
      <c r="U52" s="8"/>
      <c r="V52" s="8"/>
      <c r="W52" s="8"/>
      <c r="X52"/>
      <c r="Z52"/>
    </row>
    <row r="53" spans="1:26" ht="12.75">
      <c r="A53" s="235">
        <v>16</v>
      </c>
      <c r="B53" s="234">
        <v>68.32</v>
      </c>
      <c r="C53" s="234">
        <v>96</v>
      </c>
      <c r="D53" s="236">
        <v>63.7822147382888</v>
      </c>
      <c r="E53" s="237">
        <v>-24.483698312934948</v>
      </c>
      <c r="F53" s="234">
        <v>121.10864658024016</v>
      </c>
      <c r="G53" s="234">
        <v>457.740385773281</v>
      </c>
      <c r="H53" s="83"/>
      <c r="I53" s="245">
        <v>68.64497141352827</v>
      </c>
      <c r="J53" s="245">
        <v>95.85223398968975</v>
      </c>
      <c r="K53" s="188">
        <v>64.1488323842502</v>
      </c>
      <c r="L53" s="187">
        <v>-24.434799039515074</v>
      </c>
      <c r="M53" s="245">
        <v>128.3738685458535</v>
      </c>
      <c r="N53" s="245">
        <v>458.70941734954647</v>
      </c>
      <c r="O53" s="83"/>
      <c r="P53" s="253">
        <v>55975.04663873418</v>
      </c>
      <c r="Q53" s="254">
        <v>89336.01384461936</v>
      </c>
      <c r="R53"/>
      <c r="S53" s="72"/>
      <c r="T53" s="78"/>
      <c r="U53" s="78"/>
      <c r="V53" s="78"/>
      <c r="W53" s="8"/>
      <c r="X53"/>
      <c r="Z53"/>
    </row>
    <row r="54" spans="1:26" ht="12.75">
      <c r="A54" s="235">
        <v>17</v>
      </c>
      <c r="B54" s="234">
        <v>69.81</v>
      </c>
      <c r="C54" s="234">
        <v>94</v>
      </c>
      <c r="D54" s="236">
        <v>66.00665176258829</v>
      </c>
      <c r="E54" s="237">
        <v>-22.72791286265417</v>
      </c>
      <c r="F54" s="234">
        <v>187.11529834282845</v>
      </c>
      <c r="G54" s="234">
        <v>435.0124729106268</v>
      </c>
      <c r="H54" s="83"/>
      <c r="I54" s="245">
        <v>70.14814061897592</v>
      </c>
      <c r="J54" s="245">
        <v>93.86179562352288</v>
      </c>
      <c r="K54" s="188">
        <v>66.38126502173006</v>
      </c>
      <c r="L54" s="187">
        <v>-22.67794713845274</v>
      </c>
      <c r="M54" s="245">
        <v>194.75513356758356</v>
      </c>
      <c r="N54" s="245">
        <v>436.03147021109373</v>
      </c>
      <c r="O54" s="83"/>
      <c r="P54" s="253">
        <v>80244.3996033636</v>
      </c>
      <c r="Q54" s="254">
        <v>117389.35384278002</v>
      </c>
      <c r="R54"/>
      <c r="S54" s="33"/>
      <c r="T54" s="78"/>
      <c r="U54" s="78"/>
      <c r="V54" s="78"/>
      <c r="W54" s="8"/>
      <c r="X54"/>
      <c r="Z54"/>
    </row>
    <row r="55" spans="1:26" ht="12.75">
      <c r="A55" s="235">
        <v>18</v>
      </c>
      <c r="B55" s="234">
        <v>77.86</v>
      </c>
      <c r="C55" s="234">
        <v>93</v>
      </c>
      <c r="D55" s="236">
        <v>74.04926035874065</v>
      </c>
      <c r="E55" s="237">
        <v>-24.06006318203342</v>
      </c>
      <c r="F55" s="234">
        <v>261.1645587015691</v>
      </c>
      <c r="G55" s="234">
        <v>410.95240972859335</v>
      </c>
      <c r="H55" s="83"/>
      <c r="I55" s="245">
        <v>78.24035312598042</v>
      </c>
      <c r="J55" s="245">
        <v>92.86663940105092</v>
      </c>
      <c r="K55" s="188">
        <v>74.46707139378977</v>
      </c>
      <c r="L55" s="187">
        <v>-24.004335760656495</v>
      </c>
      <c r="M55" s="245">
        <v>269.22220496137334</v>
      </c>
      <c r="N55" s="245">
        <v>412.02713445043725</v>
      </c>
      <c r="O55" s="83"/>
      <c r="P55" s="253">
        <v>102673.76317325859</v>
      </c>
      <c r="Q55" s="254">
        <v>142430.35670928098</v>
      </c>
      <c r="R55"/>
      <c r="S55" s="12"/>
      <c r="T55" s="12"/>
      <c r="U55" s="78"/>
      <c r="V55" s="12"/>
      <c r="W55" s="8"/>
      <c r="X55"/>
      <c r="Z55"/>
    </row>
    <row r="56" spans="1:26" ht="12.75">
      <c r="A56" s="235">
        <v>19</v>
      </c>
      <c r="B56" s="234">
        <v>81.99</v>
      </c>
      <c r="C56" s="234">
        <v>97</v>
      </c>
      <c r="D56" s="236">
        <v>76.01980423593089</v>
      </c>
      <c r="E56" s="237">
        <v>-30.71399459417065</v>
      </c>
      <c r="F56" s="234">
        <v>337.1843629375</v>
      </c>
      <c r="G56" s="234">
        <v>380.2384151344227</v>
      </c>
      <c r="H56" s="83"/>
      <c r="I56" s="245">
        <v>82.37624472457317</v>
      </c>
      <c r="J56" s="245">
        <v>96.8475190154852</v>
      </c>
      <c r="K56" s="188">
        <v>76.45977760818464</v>
      </c>
      <c r="L56" s="187">
        <v>-30.65531117163412</v>
      </c>
      <c r="M56" s="245">
        <v>345.681982569558</v>
      </c>
      <c r="N56" s="245">
        <v>381.3718232788031</v>
      </c>
      <c r="O56" s="83"/>
      <c r="P56" s="253">
        <v>122456.47403817836</v>
      </c>
      <c r="Q56" s="254">
        <v>157635.6527311705</v>
      </c>
      <c r="R56"/>
      <c r="S56" s="73"/>
      <c r="T56" s="73"/>
      <c r="U56" s="12"/>
      <c r="V56" s="33"/>
      <c r="W56" s="8"/>
      <c r="X56"/>
      <c r="Z56"/>
    </row>
    <row r="57" spans="1:26" ht="12.75">
      <c r="A57" s="235">
        <v>20</v>
      </c>
      <c r="B57" s="234">
        <v>72.55</v>
      </c>
      <c r="C57" s="234">
        <v>97</v>
      </c>
      <c r="D57" s="236">
        <v>67.26718864882042</v>
      </c>
      <c r="E57" s="237">
        <v>-27.17770835232444</v>
      </c>
      <c r="F57" s="234">
        <v>404.4515515863204</v>
      </c>
      <c r="G57" s="234">
        <v>353.0607067820983</v>
      </c>
      <c r="H57" s="83"/>
      <c r="I57" s="245">
        <v>72.89177405497968</v>
      </c>
      <c r="J57" s="245">
        <v>96.8475190154852</v>
      </c>
      <c r="K57" s="188">
        <v>67.65650525032072</v>
      </c>
      <c r="L57" s="187">
        <v>-27.125781503867007</v>
      </c>
      <c r="M57" s="245">
        <v>413.3384878198787</v>
      </c>
      <c r="N57" s="245">
        <v>354.2460417749361</v>
      </c>
      <c r="O57" s="83"/>
      <c r="P57" s="253">
        <v>143588.06124949976</v>
      </c>
      <c r="Q57" s="254">
        <v>156253.0802946528</v>
      </c>
      <c r="R57"/>
      <c r="S57" s="40"/>
      <c r="T57" s="74"/>
      <c r="U57" s="78"/>
      <c r="V57" s="33"/>
      <c r="W57" s="8"/>
      <c r="X57"/>
      <c r="Z57"/>
    </row>
    <row r="58" spans="1:26" ht="12.75">
      <c r="A58" s="235">
        <v>21</v>
      </c>
      <c r="B58" s="234">
        <v>28.44</v>
      </c>
      <c r="C58" s="234">
        <v>89</v>
      </c>
      <c r="D58" s="236">
        <v>27.59521045528934</v>
      </c>
      <c r="E58" s="237">
        <v>-6.880258710854554</v>
      </c>
      <c r="F58" s="234">
        <v>432.0467620416098</v>
      </c>
      <c r="G58" s="234">
        <v>346.18044807124375</v>
      </c>
      <c r="H58" s="83"/>
      <c r="I58" s="245">
        <v>28.58321267200119</v>
      </c>
      <c r="J58" s="245">
        <v>88.88640007228508</v>
      </c>
      <c r="K58" s="188">
        <v>27.74782470955079</v>
      </c>
      <c r="L58" s="187">
        <v>-6.859903099963728</v>
      </c>
      <c r="M58" s="245">
        <v>441.0863125294295</v>
      </c>
      <c r="N58" s="245">
        <v>347.38613867497236</v>
      </c>
      <c r="O58" s="83"/>
      <c r="P58" s="253">
        <v>142775.84755646143</v>
      </c>
      <c r="Q58" s="254">
        <v>177321.11696645583</v>
      </c>
      <c r="R58"/>
      <c r="S58" s="33"/>
      <c r="T58" s="78"/>
      <c r="U58" s="78"/>
      <c r="V58" s="78"/>
      <c r="W58" s="8"/>
      <c r="X58"/>
      <c r="Z58"/>
    </row>
    <row r="59" spans="1:26" ht="12.75">
      <c r="A59" s="235">
        <v>22</v>
      </c>
      <c r="B59" s="234">
        <v>72.94</v>
      </c>
      <c r="C59" s="234">
        <v>94</v>
      </c>
      <c r="D59" s="236">
        <v>68.96612490421414</v>
      </c>
      <c r="E59" s="237">
        <v>-23.74694118610507</v>
      </c>
      <c r="F59" s="234">
        <v>501.01288694582394</v>
      </c>
      <c r="G59" s="234">
        <v>322.4335068851387</v>
      </c>
      <c r="H59" s="83"/>
      <c r="I59" s="245">
        <v>73.29330148614959</v>
      </c>
      <c r="J59" s="245">
        <v>93.86179562352288</v>
      </c>
      <c r="K59" s="188">
        <v>69.35753431721801</v>
      </c>
      <c r="L59" s="187">
        <v>-23.694735199523603</v>
      </c>
      <c r="M59" s="245">
        <v>510.4438468466475</v>
      </c>
      <c r="N59" s="245">
        <v>323.69140347544874</v>
      </c>
      <c r="O59" s="83"/>
      <c r="P59" s="253">
        <v>154078.60056949823</v>
      </c>
      <c r="Q59" s="254">
        <v>188535.2772291781</v>
      </c>
      <c r="R59"/>
      <c r="S59" s="12"/>
      <c r="T59" s="12"/>
      <c r="U59" s="78"/>
      <c r="V59" s="12"/>
      <c r="W59" s="8"/>
      <c r="X59"/>
      <c r="Z59"/>
    </row>
    <row r="60" spans="1:26" ht="12.75">
      <c r="A60" s="235">
        <v>23</v>
      </c>
      <c r="B60" s="234">
        <v>74.88</v>
      </c>
      <c r="C60" s="234">
        <v>92</v>
      </c>
      <c r="D60" s="236">
        <v>71.6081001265121</v>
      </c>
      <c r="E60" s="237">
        <v>-21.89279324963849</v>
      </c>
      <c r="F60" s="234">
        <v>572.620987072336</v>
      </c>
      <c r="G60" s="234">
        <v>300.5407136355002</v>
      </c>
      <c r="H60" s="83"/>
      <c r="I60" s="245">
        <v>75.24878185216528</v>
      </c>
      <c r="J60" s="245">
        <v>91.87152321078844</v>
      </c>
      <c r="K60" s="188">
        <v>72.00991993520047</v>
      </c>
      <c r="L60" s="187">
        <v>-21.83919872982467</v>
      </c>
      <c r="M60" s="245">
        <v>582.453766781848</v>
      </c>
      <c r="N60" s="245">
        <v>301.8522047456241</v>
      </c>
      <c r="O60" s="83"/>
      <c r="P60" s="253">
        <v>164135.1348202148</v>
      </c>
      <c r="Q60" s="254">
        <v>197097.29616675683</v>
      </c>
      <c r="R60"/>
      <c r="S60" s="73"/>
      <c r="T60" s="73"/>
      <c r="U60" s="78"/>
      <c r="V60" s="33"/>
      <c r="W60" s="8"/>
      <c r="X60"/>
      <c r="Z60"/>
    </row>
    <row r="61" spans="1:26" ht="12.75">
      <c r="A61" s="235">
        <v>24</v>
      </c>
      <c r="B61" s="234">
        <v>72.94</v>
      </c>
      <c r="C61" s="234">
        <v>91</v>
      </c>
      <c r="D61" s="236">
        <v>70.11442810174096</v>
      </c>
      <c r="E61" s="237">
        <v>-20.104988733291965</v>
      </c>
      <c r="F61" s="234">
        <v>642.7354151740769</v>
      </c>
      <c r="G61" s="234">
        <v>280.4357249022082</v>
      </c>
      <c r="H61" s="83"/>
      <c r="I61" s="245">
        <v>73.30202739039602</v>
      </c>
      <c r="J61" s="245">
        <v>90.87644558212423</v>
      </c>
      <c r="K61" s="188">
        <v>70.50583751474483</v>
      </c>
      <c r="L61" s="187">
        <v>-20.0527827467105</v>
      </c>
      <c r="M61" s="245">
        <v>652.9596042965928</v>
      </c>
      <c r="N61" s="245">
        <v>281.7994219989136</v>
      </c>
      <c r="O61" s="83"/>
      <c r="P61" s="253">
        <v>174593.79339637188</v>
      </c>
      <c r="Q61" s="254">
        <v>193644.26073479967</v>
      </c>
      <c r="R61"/>
      <c r="S61" s="40"/>
      <c r="T61" s="74"/>
      <c r="U61" s="78"/>
      <c r="V61" s="78"/>
      <c r="W61" s="8"/>
      <c r="X61"/>
      <c r="Z61"/>
    </row>
    <row r="62" spans="1:26" ht="12.75">
      <c r="A62" s="235">
        <v>25</v>
      </c>
      <c r="B62" s="234">
        <v>36.95</v>
      </c>
      <c r="C62" s="234">
        <v>98</v>
      </c>
      <c r="D62" s="236">
        <v>34.01265433506766</v>
      </c>
      <c r="E62" s="237">
        <v>-14.437515197678701</v>
      </c>
      <c r="F62" s="234">
        <v>676.7480695091446</v>
      </c>
      <c r="G62" s="234">
        <v>265.99820970452953</v>
      </c>
      <c r="H62" s="83"/>
      <c r="I62" s="245">
        <v>37.12232428301621</v>
      </c>
      <c r="J62" s="245">
        <v>97.84284983685029</v>
      </c>
      <c r="K62" s="188">
        <v>34.210934809574006</v>
      </c>
      <c r="L62" s="187">
        <v>-14.411068649773778</v>
      </c>
      <c r="M62" s="245">
        <v>687.1705391061669</v>
      </c>
      <c r="N62" s="245">
        <v>267.38835334913983</v>
      </c>
      <c r="O62" s="83"/>
      <c r="P62" s="253">
        <v>162516.6776136682</v>
      </c>
      <c r="Q62" s="254">
        <v>204340.45182554497</v>
      </c>
      <c r="R62"/>
      <c r="S62" s="33"/>
      <c r="T62" s="78"/>
      <c r="U62" s="78"/>
      <c r="V62" s="78"/>
      <c r="W62" s="8"/>
      <c r="X62"/>
      <c r="Z62"/>
    </row>
    <row r="63" spans="1:28" ht="12.75">
      <c r="A63" s="235">
        <v>26</v>
      </c>
      <c r="B63" s="234">
        <v>82.61</v>
      </c>
      <c r="C63" s="234">
        <v>97</v>
      </c>
      <c r="D63" s="236">
        <v>76.5946582257623</v>
      </c>
      <c r="E63" s="237">
        <v>-30.946250682088518</v>
      </c>
      <c r="F63" s="234">
        <v>753.3427277349068</v>
      </c>
      <c r="G63" s="234">
        <v>235.051959022441</v>
      </c>
      <c r="H63" s="83"/>
      <c r="I63" s="245">
        <v>82.99916546770325</v>
      </c>
      <c r="J63" s="245">
        <v>96.8475190154852</v>
      </c>
      <c r="K63" s="188">
        <v>77.03795863168841</v>
      </c>
      <c r="L63" s="187">
        <v>-30.88712350150866</v>
      </c>
      <c r="M63" s="245">
        <v>764.2084977378553</v>
      </c>
      <c r="N63" s="245">
        <v>236.50122984763118</v>
      </c>
      <c r="O63" s="83"/>
      <c r="P63" s="253">
        <v>162666.65894487404</v>
      </c>
      <c r="Q63" s="254">
        <v>201780.14343398658</v>
      </c>
      <c r="R63"/>
      <c r="S63" s="12"/>
      <c r="T63" s="12"/>
      <c r="U63" s="78"/>
      <c r="V63" s="12"/>
      <c r="W63" s="75"/>
      <c r="X63" s="23"/>
      <c r="Y63" s="23"/>
      <c r="Z63" s="23"/>
      <c r="AA63" s="23"/>
      <c r="AB63" s="23"/>
    </row>
    <row r="64" spans="1:26" ht="12.75">
      <c r="A64" s="235">
        <v>27</v>
      </c>
      <c r="B64" s="234">
        <v>91.61</v>
      </c>
      <c r="C64" s="234">
        <v>90</v>
      </c>
      <c r="D64" s="236">
        <v>88.48846494634155</v>
      </c>
      <c r="E64" s="237">
        <v>-23.71041272184192</v>
      </c>
      <c r="F64" s="234">
        <v>841.8311926812484</v>
      </c>
      <c r="G64" s="234">
        <v>211.34154630059908</v>
      </c>
      <c r="H64" s="83"/>
      <c r="I64" s="245">
        <v>92.06807209163598</v>
      </c>
      <c r="J64" s="245">
        <v>89.88140503338877</v>
      </c>
      <c r="K64" s="188">
        <v>88.9800610023504</v>
      </c>
      <c r="L64" s="187">
        <v>-23.644843892245976</v>
      </c>
      <c r="M64" s="245">
        <v>853.1885587402057</v>
      </c>
      <c r="N64" s="245">
        <v>212.8563859553852</v>
      </c>
      <c r="O64" s="83"/>
      <c r="P64" s="253">
        <v>168747.37305756257</v>
      </c>
      <c r="Q64" s="254">
        <v>190489.93830890628</v>
      </c>
      <c r="R64"/>
      <c r="S64" s="73"/>
      <c r="T64" s="73"/>
      <c r="U64" s="78"/>
      <c r="V64" s="33"/>
      <c r="W64" s="8"/>
      <c r="X64"/>
      <c r="Z64"/>
    </row>
    <row r="65" spans="1:26" ht="12.75">
      <c r="A65" s="235">
        <v>28</v>
      </c>
      <c r="B65" s="234">
        <v>44.16</v>
      </c>
      <c r="C65" s="234">
        <v>95</v>
      </c>
      <c r="D65" s="236">
        <v>41.496826133905714</v>
      </c>
      <c r="E65" s="237">
        <v>-15.103609529261524</v>
      </c>
      <c r="F65" s="234">
        <v>883.3280188151541</v>
      </c>
      <c r="G65" s="234">
        <v>196.23793677133756</v>
      </c>
      <c r="H65" s="83"/>
      <c r="I65" s="245">
        <v>44.37200755023823</v>
      </c>
      <c r="J65" s="245">
        <v>94.85699333733038</v>
      </c>
      <c r="K65" s="188">
        <v>41.73379679031168</v>
      </c>
      <c r="L65" s="187">
        <v>-15.072002504755938</v>
      </c>
      <c r="M65" s="245">
        <v>894.9223555305174</v>
      </c>
      <c r="N65" s="245">
        <v>197.78438345062926</v>
      </c>
      <c r="O65" s="83"/>
      <c r="P65" s="253">
        <v>183747.24710905485</v>
      </c>
      <c r="Q65" s="254">
        <v>193994.0925648314</v>
      </c>
      <c r="R65"/>
      <c r="S65" s="76"/>
      <c r="T65" s="77"/>
      <c r="U65" s="78"/>
      <c r="V65" s="33"/>
      <c r="W65" s="8"/>
      <c r="X65"/>
      <c r="Z65"/>
    </row>
    <row r="66" spans="1:26" ht="12.75">
      <c r="A66" s="235">
        <v>29</v>
      </c>
      <c r="B66" s="234">
        <v>85.78</v>
      </c>
      <c r="C66" s="234">
        <v>70</v>
      </c>
      <c r="D66" s="236">
        <v>85.45358120230992</v>
      </c>
      <c r="E66" s="237">
        <v>7.476219612894164</v>
      </c>
      <c r="F66" s="234">
        <v>968.781600017464</v>
      </c>
      <c r="G66" s="234">
        <v>203.71415638423173</v>
      </c>
      <c r="H66" s="83"/>
      <c r="I66" s="245">
        <v>86.24391317165691</v>
      </c>
      <c r="J66" s="245">
        <v>69.98601972206689</v>
      </c>
      <c r="K66" s="188">
        <v>85.91389240943184</v>
      </c>
      <c r="L66" s="187">
        <v>7.5376156854052425</v>
      </c>
      <c r="M66" s="245">
        <v>980.8362479399492</v>
      </c>
      <c r="N66" s="245">
        <v>205.3219991360345</v>
      </c>
      <c r="O66" s="83"/>
      <c r="P66" s="253">
        <v>202156.72578930756</v>
      </c>
      <c r="Q66" s="254">
        <v>210299.2883992597</v>
      </c>
      <c r="R66"/>
      <c r="S66" s="33"/>
      <c r="T66" s="78"/>
      <c r="U66" s="78"/>
      <c r="V66" s="78"/>
      <c r="W66" s="8"/>
      <c r="X66"/>
      <c r="Z66"/>
    </row>
    <row r="67" spans="1:26" ht="12.75">
      <c r="A67" s="235">
        <v>30</v>
      </c>
      <c r="B67" s="234">
        <v>43.18</v>
      </c>
      <c r="C67" s="234">
        <v>74</v>
      </c>
      <c r="D67" s="236">
        <v>43.173423476852975</v>
      </c>
      <c r="E67" s="237">
        <v>0.753594909961883</v>
      </c>
      <c r="F67" s="234">
        <v>1011.955023494317</v>
      </c>
      <c r="G67" s="234">
        <v>204.46775129419362</v>
      </c>
      <c r="H67" s="83"/>
      <c r="I67" s="245">
        <v>43.41222419053163</v>
      </c>
      <c r="J67" s="245">
        <v>73.96455397366731</v>
      </c>
      <c r="K67" s="188">
        <v>43.40513527358326</v>
      </c>
      <c r="L67" s="187">
        <v>0.7845005104634959</v>
      </c>
      <c r="M67" s="245">
        <v>1024.2413832135326</v>
      </c>
      <c r="N67" s="245">
        <v>206.10649964649798</v>
      </c>
      <c r="O67" s="83"/>
      <c r="P67" s="253">
        <v>267811.132149865</v>
      </c>
      <c r="Q67" s="254">
        <v>226894.10287677095</v>
      </c>
      <c r="R67"/>
      <c r="S67" s="12"/>
      <c r="T67" s="12"/>
      <c r="U67" s="78"/>
      <c r="V67" s="12"/>
      <c r="W67" s="8"/>
      <c r="X67"/>
      <c r="Z67"/>
    </row>
    <row r="68" spans="1:26" ht="12.75">
      <c r="A68" s="235">
        <v>31</v>
      </c>
      <c r="B68" s="234">
        <v>94.08</v>
      </c>
      <c r="C68" s="234">
        <v>39</v>
      </c>
      <c r="D68" s="236">
        <v>76.11231883079502</v>
      </c>
      <c r="E68" s="237">
        <v>55.29883653567591</v>
      </c>
      <c r="F68" s="234">
        <v>1088.067342325112</v>
      </c>
      <c r="G68" s="234">
        <v>259.76658782986954</v>
      </c>
      <c r="H68" s="83"/>
      <c r="I68" s="245">
        <v>94.52832263366813</v>
      </c>
      <c r="J68" s="245">
        <v>39.14684382877704</v>
      </c>
      <c r="K68" s="188">
        <v>76.6171693596599</v>
      </c>
      <c r="L68" s="187">
        <v>55.36617324005738</v>
      </c>
      <c r="M68" s="245">
        <v>1100.8585525731924</v>
      </c>
      <c r="N68" s="245">
        <v>261.47267288655536</v>
      </c>
      <c r="O68" s="83"/>
      <c r="P68" s="253">
        <v>302401.9076778837</v>
      </c>
      <c r="Q68" s="254">
        <v>301747.86475145194</v>
      </c>
      <c r="R68"/>
      <c r="S68" s="73"/>
      <c r="T68" s="73"/>
      <c r="U68" s="78"/>
      <c r="V68" s="33"/>
      <c r="W68" s="8"/>
      <c r="X68"/>
      <c r="Z68"/>
    </row>
    <row r="69" spans="1:26" ht="12.75">
      <c r="A69" s="235">
        <v>32</v>
      </c>
      <c r="B69" s="234">
        <v>54.5</v>
      </c>
      <c r="C69" s="234">
        <v>61</v>
      </c>
      <c r="D69" s="236">
        <v>52.881117082041804</v>
      </c>
      <c r="E69" s="237">
        <v>13.184743310181918</v>
      </c>
      <c r="F69" s="234">
        <v>1140.9484594071537</v>
      </c>
      <c r="G69" s="234">
        <v>272.9513311400515</v>
      </c>
      <c r="H69" s="83"/>
      <c r="I69" s="245">
        <v>54.79321648054424</v>
      </c>
      <c r="J69" s="245">
        <v>61.03440544553564</v>
      </c>
      <c r="K69" s="188">
        <v>53.17357407420949</v>
      </c>
      <c r="L69" s="187">
        <v>13.223751073668206</v>
      </c>
      <c r="M69" s="245">
        <v>1154.0321266474018</v>
      </c>
      <c r="N69" s="245">
        <v>274.69642396022357</v>
      </c>
      <c r="O69" s="83"/>
      <c r="P69" s="253">
        <v>274264.92216289154</v>
      </c>
      <c r="Q69" s="254">
        <v>343719.2399091126</v>
      </c>
      <c r="R69"/>
      <c r="S69" s="40"/>
      <c r="T69" s="39"/>
      <c r="U69" s="78"/>
      <c r="V69" s="33"/>
      <c r="W69" s="8"/>
      <c r="X69"/>
      <c r="Z69"/>
    </row>
    <row r="70" spans="1:26" ht="12.75">
      <c r="A70" s="235">
        <v>33</v>
      </c>
      <c r="B70" s="234">
        <v>103.56</v>
      </c>
      <c r="C70" s="234">
        <v>96</v>
      </c>
      <c r="D70" s="236">
        <v>96.68158896805019</v>
      </c>
      <c r="E70" s="237">
        <v>-37.11258485491135</v>
      </c>
      <c r="F70" s="234">
        <v>1237.6300483752038</v>
      </c>
      <c r="G70" s="234">
        <v>235.83874628514013</v>
      </c>
      <c r="H70" s="83"/>
      <c r="I70" s="245">
        <v>104.05259425622057</v>
      </c>
      <c r="J70" s="245">
        <v>95.85223398968975</v>
      </c>
      <c r="K70" s="188">
        <v>97.23731091500223</v>
      </c>
      <c r="L70" s="187">
        <v>-37.03846294689961</v>
      </c>
      <c r="M70" s="245">
        <v>1251.269437562404</v>
      </c>
      <c r="N70" s="245">
        <v>237.65796101332396</v>
      </c>
      <c r="O70" s="83"/>
      <c r="P70" s="253">
        <v>282001.8559204919</v>
      </c>
      <c r="Q70" s="254">
        <v>305039.2817082738</v>
      </c>
      <c r="R70"/>
      <c r="S70" s="33"/>
      <c r="T70" s="79"/>
      <c r="U70" s="78"/>
      <c r="V70" s="78"/>
      <c r="W70" s="8"/>
      <c r="X70"/>
      <c r="Z70"/>
    </row>
    <row r="71" spans="1:26" ht="12.75">
      <c r="A71" s="235">
        <v>34</v>
      </c>
      <c r="B71" s="234">
        <v>34.35</v>
      </c>
      <c r="C71" s="234">
        <v>96</v>
      </c>
      <c r="D71" s="236">
        <v>32.068487650178874</v>
      </c>
      <c r="E71" s="237">
        <v>-12.309939066881082</v>
      </c>
      <c r="F71" s="234">
        <v>1269.6985360253827</v>
      </c>
      <c r="G71" s="234">
        <v>223.52880721825906</v>
      </c>
      <c r="H71" s="83"/>
      <c r="I71" s="245">
        <v>34.513389462158905</v>
      </c>
      <c r="J71" s="245">
        <v>95.85223398968975</v>
      </c>
      <c r="K71" s="188">
        <v>32.252816047994656</v>
      </c>
      <c r="L71" s="187">
        <v>-12.285353439803027</v>
      </c>
      <c r="M71" s="245">
        <v>1283.5222536103986</v>
      </c>
      <c r="N71" s="245">
        <v>225.37260757352092</v>
      </c>
      <c r="O71" s="83"/>
      <c r="P71" s="253">
        <v>317112.6709888657</v>
      </c>
      <c r="Q71" s="254">
        <v>308928.6968748889</v>
      </c>
      <c r="R71"/>
      <c r="S71" s="25"/>
      <c r="T71" s="30"/>
      <c r="U71" s="57"/>
      <c r="V71" s="57"/>
      <c r="W71"/>
      <c r="X71"/>
      <c r="Z71"/>
    </row>
    <row r="72" spans="1:26" ht="12.75">
      <c r="A72" s="235">
        <v>35</v>
      </c>
      <c r="B72" s="234">
        <v>89.4</v>
      </c>
      <c r="C72" s="234">
        <v>61</v>
      </c>
      <c r="D72" s="236">
        <v>86.74443792907408</v>
      </c>
      <c r="E72" s="237">
        <v>21.62781746661034</v>
      </c>
      <c r="F72" s="234">
        <v>1356.4429739544569</v>
      </c>
      <c r="G72" s="234">
        <v>245.1566246848694</v>
      </c>
      <c r="H72" s="83"/>
      <c r="I72" s="245">
        <v>89.88098263047074</v>
      </c>
      <c r="J72" s="245">
        <v>61.03440544553564</v>
      </c>
      <c r="K72" s="188">
        <v>87.22417471989594</v>
      </c>
      <c r="L72" s="187">
        <v>21.691804513503445</v>
      </c>
      <c r="M72" s="245">
        <v>1370.7464283302945</v>
      </c>
      <c r="N72" s="245">
        <v>247.06441208702438</v>
      </c>
      <c r="O72" s="83"/>
      <c r="P72" s="253">
        <v>357962.61422848393</v>
      </c>
      <c r="Q72" s="254">
        <v>358417.07730784995</v>
      </c>
      <c r="R72"/>
      <c r="S72" s="25"/>
      <c r="T72" s="30"/>
      <c r="V72" s="26"/>
      <c r="W72"/>
      <c r="X72"/>
      <c r="Z72"/>
    </row>
    <row r="73" spans="1:26" ht="12.75">
      <c r="A73" s="235">
        <v>36</v>
      </c>
      <c r="B73" s="234">
        <v>80.75</v>
      </c>
      <c r="C73" s="234">
        <v>65</v>
      </c>
      <c r="D73" s="236">
        <v>79.5232260557358</v>
      </c>
      <c r="E73" s="237">
        <v>14.02209034660459</v>
      </c>
      <c r="F73" s="234">
        <v>1435.9662000101928</v>
      </c>
      <c r="G73" s="234">
        <v>259.178715031474</v>
      </c>
      <c r="H73" s="83"/>
      <c r="I73" s="245">
        <v>81.18677443344947</v>
      </c>
      <c r="J73" s="245">
        <v>65.01293405412162</v>
      </c>
      <c r="K73" s="188">
        <v>79.95654536064481</v>
      </c>
      <c r="L73" s="187">
        <v>14.079886253054458</v>
      </c>
      <c r="M73" s="245">
        <v>1450.7029736909394</v>
      </c>
      <c r="N73" s="245">
        <v>261.1442983400788</v>
      </c>
      <c r="O73" s="83"/>
      <c r="P73" s="253">
        <v>386954.0711106181</v>
      </c>
      <c r="Q73" s="254">
        <v>395485.3584284737</v>
      </c>
      <c r="R73"/>
      <c r="S73" s="25"/>
      <c r="T73" s="30"/>
      <c r="V73" s="26"/>
      <c r="W73"/>
      <c r="X73"/>
      <c r="Z73"/>
    </row>
    <row r="74" spans="1:26" ht="12.75">
      <c r="A74" s="235">
        <v>37</v>
      </c>
      <c r="B74" s="234">
        <v>63.63</v>
      </c>
      <c r="C74" s="234">
        <v>70</v>
      </c>
      <c r="D74" s="236">
        <v>63.38786863957777</v>
      </c>
      <c r="E74" s="237">
        <v>5.545719911033523</v>
      </c>
      <c r="F74" s="234">
        <v>1499.3540686497706</v>
      </c>
      <c r="G74" s="234">
        <v>264.7244349425075</v>
      </c>
      <c r="H74" s="83"/>
      <c r="I74" s="245">
        <v>63.9741221160239</v>
      </c>
      <c r="J74" s="245">
        <v>69.98601972206689</v>
      </c>
      <c r="K74" s="188">
        <v>63.72931888566272</v>
      </c>
      <c r="L74" s="187">
        <v>5.5912623695772385</v>
      </c>
      <c r="M74" s="245">
        <v>1514.432292576602</v>
      </c>
      <c r="N74" s="245">
        <v>266.73556070965606</v>
      </c>
      <c r="O74" s="83"/>
      <c r="P74" s="253">
        <v>406413.0115291358</v>
      </c>
      <c r="Q74" s="254">
        <v>427926.1180839046</v>
      </c>
      <c r="R74"/>
      <c r="S74" s="25"/>
      <c r="T74" s="30"/>
      <c r="V74" s="26"/>
      <c r="W74"/>
      <c r="X74"/>
      <c r="Z74"/>
    </row>
    <row r="75" spans="1:26" ht="12.75">
      <c r="A75" s="235">
        <v>38</v>
      </c>
      <c r="B75" s="234">
        <v>89.41</v>
      </c>
      <c r="C75" s="234">
        <v>74</v>
      </c>
      <c r="D75" s="236">
        <v>89.39638242393293</v>
      </c>
      <c r="E75" s="237">
        <v>1.5604196595574793</v>
      </c>
      <c r="F75" s="234">
        <v>1588.7504510737035</v>
      </c>
      <c r="G75" s="234">
        <v>266.28485460206497</v>
      </c>
      <c r="H75" s="83"/>
      <c r="I75" s="245">
        <v>89.89085143296509</v>
      </c>
      <c r="J75" s="245">
        <v>73.96455397366731</v>
      </c>
      <c r="K75" s="188">
        <v>89.87617287658821</v>
      </c>
      <c r="L75" s="187">
        <v>1.6244138638383778</v>
      </c>
      <c r="M75" s="245">
        <v>1604.3084654531904</v>
      </c>
      <c r="N75" s="245">
        <v>268.3599745734944</v>
      </c>
      <c r="O75" s="83"/>
      <c r="P75" s="253">
        <v>430580.71619171207</v>
      </c>
      <c r="Q75" s="254">
        <v>441936.62683152943</v>
      </c>
      <c r="R75"/>
      <c r="S75" s="25"/>
      <c r="T75" s="30"/>
      <c r="V75" s="31"/>
      <c r="W75"/>
      <c r="X75"/>
      <c r="Z75"/>
    </row>
    <row r="76" spans="1:26" ht="12.75">
      <c r="A76" s="235">
        <v>39</v>
      </c>
      <c r="B76" s="234">
        <v>42.27</v>
      </c>
      <c r="C76" s="234">
        <v>75</v>
      </c>
      <c r="D76" s="236">
        <v>42.27</v>
      </c>
      <c r="E76" s="237">
        <v>-1.0357405037797475E-14</v>
      </c>
      <c r="F76" s="234">
        <v>1631.0204510737035</v>
      </c>
      <c r="G76" s="234">
        <v>266.28485460206497</v>
      </c>
      <c r="H76" s="83"/>
      <c r="I76" s="245">
        <v>42.49683933917733</v>
      </c>
      <c r="J76" s="245">
        <v>74.95921008180471</v>
      </c>
      <c r="K76" s="188">
        <v>42.49682856988859</v>
      </c>
      <c r="L76" s="187">
        <v>0.030254278212198386</v>
      </c>
      <c r="M76" s="245">
        <v>1646.8052940230789</v>
      </c>
      <c r="N76" s="245">
        <v>268.39022885170664</v>
      </c>
      <c r="O76" s="83"/>
      <c r="P76" s="253">
        <v>574326.231278314</v>
      </c>
      <c r="Q76" s="254">
        <v>443609.50580081466</v>
      </c>
      <c r="R76"/>
      <c r="S76" s="25"/>
      <c r="T76" s="30"/>
      <c r="U76" s="26"/>
      <c r="V76" s="26"/>
      <c r="W76"/>
      <c r="X76"/>
      <c r="Z76"/>
    </row>
    <row r="77" spans="1:26" ht="12.75">
      <c r="A77" s="235">
        <v>40</v>
      </c>
      <c r="B77" s="234">
        <v>80.5</v>
      </c>
      <c r="C77" s="234">
        <v>349</v>
      </c>
      <c r="D77" s="236">
        <v>5.615396136402099</v>
      </c>
      <c r="E77" s="237">
        <v>80.30390604591585</v>
      </c>
      <c r="F77" s="234">
        <v>1636.6358472101056</v>
      </c>
      <c r="G77" s="234">
        <v>346.58876064798085</v>
      </c>
      <c r="H77" s="83"/>
      <c r="I77" s="245">
        <v>80.58874060780028</v>
      </c>
      <c r="J77" s="245">
        <v>349.30351690513316</v>
      </c>
      <c r="K77" s="188">
        <v>6.0473738954754745</v>
      </c>
      <c r="L77" s="187">
        <v>80.36152301767083</v>
      </c>
      <c r="M77" s="245">
        <v>1652.8526679185543</v>
      </c>
      <c r="N77" s="245">
        <v>348.7517518693775</v>
      </c>
      <c r="O77" s="83"/>
      <c r="P77" s="253">
        <v>708495.4062350172</v>
      </c>
      <c r="Q77" s="254">
        <v>562416.5804603605</v>
      </c>
      <c r="R77"/>
      <c r="S77" s="25"/>
      <c r="T77" s="30"/>
      <c r="U77" s="26"/>
      <c r="V77" s="26"/>
      <c r="W77"/>
      <c r="X77"/>
      <c r="Z77"/>
    </row>
    <row r="78" spans="1:26" ht="12.75">
      <c r="A78" s="235">
        <v>41</v>
      </c>
      <c r="B78" s="234">
        <v>89.6</v>
      </c>
      <c r="C78" s="234">
        <v>318</v>
      </c>
      <c r="D78" s="236">
        <v>-40.67754877666338</v>
      </c>
      <c r="E78" s="237">
        <v>79.83418456727776</v>
      </c>
      <c r="F78" s="234">
        <v>1595.9582984334422</v>
      </c>
      <c r="G78" s="234">
        <v>426.4229452152586</v>
      </c>
      <c r="H78" s="83"/>
      <c r="I78" s="245">
        <v>89.44002743663036</v>
      </c>
      <c r="J78" s="245">
        <v>318.29309073411264</v>
      </c>
      <c r="K78" s="188">
        <v>-40.196738749173015</v>
      </c>
      <c r="L78" s="187">
        <v>79.89831476192677</v>
      </c>
      <c r="M78" s="245">
        <v>1612.6559291693814</v>
      </c>
      <c r="N78" s="245">
        <v>428.65006663130424</v>
      </c>
      <c r="O78" s="83"/>
      <c r="P78" s="253">
        <v>967901.3242250193</v>
      </c>
      <c r="Q78" s="254">
        <v>636398.7541165929</v>
      </c>
      <c r="R78"/>
      <c r="S78" s="25"/>
      <c r="T78" s="30"/>
      <c r="U78" s="26"/>
      <c r="V78" s="26"/>
      <c r="W78"/>
      <c r="X78"/>
      <c r="Z78"/>
    </row>
    <row r="79" spans="1:26" ht="12.75">
      <c r="A79" s="235">
        <v>42</v>
      </c>
      <c r="B79" s="234">
        <v>214.6</v>
      </c>
      <c r="C79" s="234">
        <v>308</v>
      </c>
      <c r="D79" s="236">
        <v>-129.14950396842957</v>
      </c>
      <c r="E79" s="237">
        <v>171.38718045614903</v>
      </c>
      <c r="F79" s="234">
        <v>1466.8087944650126</v>
      </c>
      <c r="G79" s="234">
        <v>597.8101256714076</v>
      </c>
      <c r="H79" s="83"/>
      <c r="I79" s="245">
        <v>214.03202167545967</v>
      </c>
      <c r="J79" s="245">
        <v>308.27094603482783</v>
      </c>
      <c r="K79" s="188">
        <v>-127.9979210231234</v>
      </c>
      <c r="L79" s="187">
        <v>171.54077799824364</v>
      </c>
      <c r="M79" s="245">
        <v>1484.658008146258</v>
      </c>
      <c r="N79" s="245">
        <v>600.1908446295479</v>
      </c>
      <c r="O79" s="83"/>
      <c r="P79" s="253">
        <v>1262323.6827355756</v>
      </c>
      <c r="Q79" s="254">
        <v>837351.2874168002</v>
      </c>
      <c r="R79"/>
      <c r="S79" s="25"/>
      <c r="T79" s="30"/>
      <c r="U79" s="26"/>
      <c r="V79" s="26"/>
      <c r="W79"/>
      <c r="X79"/>
      <c r="Z79"/>
    </row>
    <row r="80" spans="1:26" ht="12.75">
      <c r="A80" s="235">
        <v>43</v>
      </c>
      <c r="B80" s="234">
        <v>265.9</v>
      </c>
      <c r="C80" s="234">
        <v>325</v>
      </c>
      <c r="D80" s="236">
        <v>-90.9431561102953</v>
      </c>
      <c r="E80" s="237">
        <v>249.86426786697302</v>
      </c>
      <c r="F80" s="234">
        <v>1375.8656383547172</v>
      </c>
      <c r="G80" s="234">
        <v>847.6743935383806</v>
      </c>
      <c r="H80" s="83"/>
      <c r="I80" s="245">
        <v>265.5945409709392</v>
      </c>
      <c r="J80" s="245">
        <v>325.30329324117963</v>
      </c>
      <c r="K80" s="188">
        <v>-89.51628795951753</v>
      </c>
      <c r="L80" s="187">
        <v>250.05458280845934</v>
      </c>
      <c r="M80" s="245">
        <v>1395.1417201867405</v>
      </c>
      <c r="N80" s="245">
        <v>850.2454274380073</v>
      </c>
      <c r="O80" s="83"/>
      <c r="P80" s="253">
        <v>1333893.3091979187</v>
      </c>
      <c r="Q80" s="254">
        <v>1048690.4478140092</v>
      </c>
      <c r="R80"/>
      <c r="S80" s="25"/>
      <c r="T80" s="30"/>
      <c r="U80" s="26"/>
      <c r="V80" s="26"/>
      <c r="W80"/>
      <c r="X80"/>
      <c r="Z80"/>
    </row>
    <row r="81" spans="1:26" ht="12.75">
      <c r="A81" s="235">
        <v>44</v>
      </c>
      <c r="B81" s="234">
        <v>194.1</v>
      </c>
      <c r="C81" s="234">
        <v>288</v>
      </c>
      <c r="D81" s="236">
        <v>-162.78595723820683</v>
      </c>
      <c r="E81" s="237">
        <v>105.71443669641673</v>
      </c>
      <c r="F81" s="234">
        <v>1213.0796811165105</v>
      </c>
      <c r="G81" s="234">
        <v>953.3888302347973</v>
      </c>
      <c r="H81" s="83"/>
      <c r="I81" s="245">
        <v>193.30333406943197</v>
      </c>
      <c r="J81" s="245">
        <v>288.2026797158652</v>
      </c>
      <c r="K81" s="188">
        <v>-161.74438105142247</v>
      </c>
      <c r="L81" s="187">
        <v>105.85336159353028</v>
      </c>
      <c r="M81" s="245">
        <v>1233.397339135318</v>
      </c>
      <c r="N81" s="245">
        <v>956.0987890315375</v>
      </c>
      <c r="O81" s="83"/>
      <c r="P81" s="253">
        <v>1194798.539661389</v>
      </c>
      <c r="Q81" s="254">
        <v>1111544.8807668316</v>
      </c>
      <c r="R81"/>
      <c r="S81" s="1"/>
      <c r="T81"/>
      <c r="U81" s="26"/>
      <c r="W81"/>
      <c r="X81"/>
      <c r="Z81"/>
    </row>
    <row r="82" spans="1:26" ht="12.75">
      <c r="A82" s="235">
        <v>45</v>
      </c>
      <c r="B82" s="234">
        <v>72.3</v>
      </c>
      <c r="C82" s="234">
        <v>265</v>
      </c>
      <c r="D82" s="236">
        <v>-71.20160054278264</v>
      </c>
      <c r="E82" s="237">
        <v>12.554763245319059</v>
      </c>
      <c r="F82" s="234">
        <v>1141.8780805737279</v>
      </c>
      <c r="G82" s="234">
        <v>965.9435934801163</v>
      </c>
      <c r="H82" s="83"/>
      <c r="I82" s="245">
        <v>71.92700242769648</v>
      </c>
      <c r="J82" s="245">
        <v>265.0942619466913</v>
      </c>
      <c r="K82" s="188">
        <v>-70.81362548711799</v>
      </c>
      <c r="L82" s="187">
        <v>12.606511159081602</v>
      </c>
      <c r="M82" s="245">
        <v>1162.5837136481998</v>
      </c>
      <c r="N82" s="245">
        <v>968.7053001906191</v>
      </c>
      <c r="O82" s="83"/>
      <c r="P82" s="253">
        <v>1133244.5229076915</v>
      </c>
      <c r="Q82" s="254">
        <v>1016320.1095099386</v>
      </c>
      <c r="R82"/>
      <c r="S82" s="1"/>
      <c r="T82"/>
      <c r="U82" s="26"/>
      <c r="W82"/>
      <c r="X82"/>
      <c r="Z82"/>
    </row>
    <row r="83" spans="1:26" ht="12.75">
      <c r="A83" s="235">
        <v>46</v>
      </c>
      <c r="B83" s="234">
        <v>114.2</v>
      </c>
      <c r="C83" s="234">
        <v>258</v>
      </c>
      <c r="D83" s="236">
        <v>-114.04349286897234</v>
      </c>
      <c r="E83" s="237">
        <v>5.976766202944183</v>
      </c>
      <c r="F83" s="234">
        <v>1027.8345877047554</v>
      </c>
      <c r="G83" s="234">
        <v>971.9203596830605</v>
      </c>
      <c r="H83" s="83"/>
      <c r="I83" s="245">
        <v>113.59235641324943</v>
      </c>
      <c r="J83" s="245">
        <v>258.0573489613498</v>
      </c>
      <c r="K83" s="188">
        <v>-113.43067473125582</v>
      </c>
      <c r="L83" s="187">
        <v>6.058503571570496</v>
      </c>
      <c r="M83" s="245">
        <v>1049.153038916944</v>
      </c>
      <c r="N83" s="245">
        <v>974.7638037621896</v>
      </c>
      <c r="O83" s="83"/>
      <c r="P83" s="253">
        <v>1049153.0389169445</v>
      </c>
      <c r="Q83" s="254">
        <v>974763.8037621895</v>
      </c>
      <c r="R83"/>
      <c r="S83" s="1"/>
      <c r="T83"/>
      <c r="U83" s="26"/>
      <c r="W83"/>
      <c r="X83"/>
      <c r="Z83"/>
    </row>
    <row r="84" spans="1:26" ht="12.75">
      <c r="A84" s="235">
        <v>47</v>
      </c>
      <c r="B84" s="234">
        <v>55.5</v>
      </c>
      <c r="C84" s="234">
        <v>282</v>
      </c>
      <c r="D84" s="236">
        <v>-49.450862092454415</v>
      </c>
      <c r="E84" s="237">
        <v>25.19647273554485</v>
      </c>
      <c r="F84" s="234">
        <v>978.3837256123011</v>
      </c>
      <c r="G84" s="234">
        <v>997.1168324186053</v>
      </c>
      <c r="H84" s="83"/>
      <c r="I84" s="245">
        <v>55.25293508334124</v>
      </c>
      <c r="J84" s="245">
        <v>282.1769107011211</v>
      </c>
      <c r="K84" s="188">
        <v>-49.1530389169442</v>
      </c>
      <c r="L84" s="187">
        <v>25.236196237810706</v>
      </c>
      <c r="M84" s="245">
        <v>1000</v>
      </c>
      <c r="N84" s="245">
        <v>1000</v>
      </c>
      <c r="O84" s="83"/>
      <c r="P84" s="253" t="s">
        <v>151</v>
      </c>
      <c r="Q84" s="254" t="s">
        <v>151</v>
      </c>
      <c r="R84"/>
      <c r="S84" s="1"/>
      <c r="T84"/>
      <c r="U84" s="26"/>
      <c r="W84"/>
      <c r="X84"/>
      <c r="Z84"/>
    </row>
    <row r="85" spans="1:26" ht="12.75">
      <c r="A85" s="235">
        <f>IF(ISNUMBER('Data Entry'!$Q64),'Data Entry'!A64,"")</f>
      </c>
      <c r="B85" s="234">
        <f>IF(ISNUMBER('Data Entry'!$Q64),IF($B$3='Data Entry'!$B$8,'Data Entry'!L64,IF(AND($B$3=0,'Data Entry'!$B$8=1),'Data Entry'!L64/'Data Entry'!$B$9,IF(AND($B$3=1,'Data Entry'!$B$8=0),'Data Entry'!L64*'Data Entry'!$B$9,"Conversion Error"))),"")</f>
      </c>
      <c r="C85" s="234">
        <f>IF(ISNUMBER('Data Entry'!$Q64),IF(ISNUMBER('Data Entry'!$M64),'Data Entry'!$M64,IF(ISNUMBER('Data Entry'!$N64),'Data Entry'!$N64,"Error")),"")</f>
      </c>
      <c r="D85" s="236">
        <f>IF('Data Entry'!$Q64="","",IF(ISERROR($B85*COS(((360-$B$6)-$C85+90)*PI()/180)),"Error",$B85*COS(((360-$B$6)-$C85+90)*PI()/180)))</f>
      </c>
      <c r="E85" s="237">
        <f>IF('Data Entry'!$Q64="","",IF(ISERROR($B85*SIN(((360-$B$6)-$C85+90)*PI()/180)),"Error",$B85*SIN(((360-$B$6)-$C85+90)*PI()/180)))</f>
      </c>
      <c r="F85" s="234">
        <f aca="true" t="shared" si="0" ref="F85:F102">IF(ISERROR(F84+D85),"",F84+D85)</f>
      </c>
      <c r="G85" s="234">
        <f aca="true" t="shared" si="1" ref="G85:G102">IF(ISERROR(G84+E85),"",G84+E85)</f>
      </c>
      <c r="H85" s="83"/>
      <c r="I85" s="245">
        <f aca="true" t="shared" si="2" ref="I85:I102">IF(ISERROR(SQRT(K85^2+L85^2)),"",(SQRT(K85^2+L85^2)))</f>
      </c>
      <c r="J85" s="245">
        <f aca="true" t="shared" si="3" ref="J85:J101">IF(K85="","",IF(AND($K85&gt;0,$L85&gt;0),(360-ATAN($L85/$K85)*180/PI()+360-$B$6+90)-(360*(INT((360-ATAN($L85/$K85)*180/PI()+360-$B$6+90)/360))),(IF(AND($K85&gt;0,$L85&lt;0),(0-ATAN($L85/$K85)*180/PI()+360-$B$6+90)-(360*(INT((0-ATAN($L85/$K85)*180/PI()+360-$B$6+90)/360))),(IF(AND($K85&lt;0,$L85&lt;0),(180-ATAN($L85/$K85)*180/PI()+360-$B$6+90)-(360*(INT((180-ATAN($L85/$K85)*180/PI()+360-$B$6+90)/360))),(180-ATAN($L85/$K85)*180/PI()+360-$B$6+90)-(360*(INT((180-ATAN($L85/$K85)*180/PI()+360-$B$6+90)/360)))))))))</f>
      </c>
      <c r="K85" s="188">
        <f aca="true" t="shared" si="4" ref="K85:K102">IF(ISERROR((D85-((SUM(D$38:D$137)/SUM($B$38:$B$137))*$B85))),"",(D85-((SUM(D$38:D$137)/SUM($B$38:$B$137))*$B85)))</f>
      </c>
      <c r="L85" s="187">
        <f aca="true" t="shared" si="5" ref="L85:L102">IF(ISERROR((E85-((SUM(E$38:E$137)/SUM($B$38:$B$137))*$B85))),"",(E85-((SUM(E$38:E$137)/SUM($B$38:$B$137))*$B85)))</f>
      </c>
      <c r="M85" s="245">
        <f aca="true" t="shared" si="6" ref="M85:M103">IF(ISERROR(M84+K85),"",(M84+K85))</f>
      </c>
      <c r="N85" s="245">
        <f aca="true" t="shared" si="7" ref="N85:N103">IF(ISERROR(N84+L85),"",(N84+L85))</f>
      </c>
      <c r="O85" s="83"/>
      <c r="P85" s="253">
        <f aca="true" t="shared" si="8" ref="P85:P101">IF(ISERROR(M85*N86),"",(M85*N86))</f>
      </c>
      <c r="Q85" s="254">
        <f aca="true" t="shared" si="9" ref="Q85:Q105">IF(ISERROR(N85*M86),"",(N85*M86))</f>
      </c>
      <c r="R85"/>
      <c r="S85" s="1"/>
      <c r="T85"/>
      <c r="W85"/>
      <c r="X85"/>
      <c r="Z85"/>
    </row>
    <row r="86" spans="1:26" ht="12.75">
      <c r="A86" s="235">
        <f>IF(ISNUMBER('Data Entry'!$Q65),'Data Entry'!A65,"")</f>
      </c>
      <c r="B86" s="234">
        <f>IF(ISNUMBER('Data Entry'!$Q65),IF($B$3='Data Entry'!$B$8,'Data Entry'!L65,IF(AND($B$3=0,'Data Entry'!$B$8=1),'Data Entry'!L65/'Data Entry'!$B$9,IF(AND($B$3=1,'Data Entry'!$B$8=0),'Data Entry'!L65*'Data Entry'!$B$9,"Conversion Error"))),"")</f>
      </c>
      <c r="C86" s="234">
        <f>IF(ISNUMBER('Data Entry'!$Q65),IF(ISNUMBER('Data Entry'!$M65),'Data Entry'!$M65,IF(ISNUMBER('Data Entry'!$N65),'Data Entry'!$N65,"Error")),"")</f>
      </c>
      <c r="D86" s="236">
        <f>IF('Data Entry'!$Q65="","",IF(ISERROR($B86*COS(((360-$B$6)-$C86+90)*PI()/180)),"Error",$B86*COS(((360-$B$6)-$C86+90)*PI()/180)))</f>
      </c>
      <c r="E86" s="237">
        <f>IF('Data Entry'!$Q65="","",IF(ISERROR($B86*SIN(((360-$B$6)-$C86+90)*PI()/180)),"Error",$B86*SIN(((360-$B$6)-$C86+90)*PI()/180)))</f>
      </c>
      <c r="F86" s="234">
        <f t="shared" si="0"/>
      </c>
      <c r="G86" s="234">
        <f t="shared" si="1"/>
      </c>
      <c r="H86" s="83"/>
      <c r="I86" s="245">
        <f t="shared" si="2"/>
      </c>
      <c r="J86" s="245">
        <f t="shared" si="3"/>
      </c>
      <c r="K86" s="188">
        <f t="shared" si="4"/>
      </c>
      <c r="L86" s="187">
        <f t="shared" si="5"/>
      </c>
      <c r="M86" s="245">
        <f t="shared" si="6"/>
      </c>
      <c r="N86" s="245">
        <f t="shared" si="7"/>
      </c>
      <c r="O86" s="83"/>
      <c r="P86" s="253">
        <f t="shared" si="8"/>
      </c>
      <c r="Q86" s="254">
        <f t="shared" si="9"/>
      </c>
      <c r="R86"/>
      <c r="S86" s="1"/>
      <c r="T86"/>
      <c r="W86"/>
      <c r="X86"/>
      <c r="Z86"/>
    </row>
    <row r="87" spans="1:26" ht="12.75">
      <c r="A87" s="235">
        <f>IF(ISNUMBER('Data Entry'!$Q66),'Data Entry'!A66,"")</f>
      </c>
      <c r="B87" s="234">
        <f>IF(ISNUMBER('Data Entry'!$Q66),IF($B$3='Data Entry'!$B$8,'Data Entry'!L66,IF(AND($B$3=0,'Data Entry'!$B$8=1),'Data Entry'!L66/'Data Entry'!$B$9,IF(AND($B$3=1,'Data Entry'!$B$8=0),'Data Entry'!L66*'Data Entry'!$B$9,"Conversion Error"))),"")</f>
      </c>
      <c r="C87" s="234">
        <f>IF(ISNUMBER('Data Entry'!$Q66),IF(ISNUMBER('Data Entry'!$M66),'Data Entry'!$M66,IF(ISNUMBER('Data Entry'!$N66),'Data Entry'!$N66,"Error")),"")</f>
      </c>
      <c r="D87" s="236">
        <f>IF('Data Entry'!$Q66="","",IF(ISERROR($B87*COS(((360-$B$6)-$C87+90)*PI()/180)),"Error",$B87*COS(((360-$B$6)-$C87+90)*PI()/180)))</f>
      </c>
      <c r="E87" s="237">
        <f>IF('Data Entry'!$Q66="","",IF(ISERROR($B87*SIN(((360-$B$6)-$C87+90)*PI()/180)),"Error",$B87*SIN(((360-$B$6)-$C87+90)*PI()/180)))</f>
      </c>
      <c r="F87" s="234">
        <f t="shared" si="0"/>
      </c>
      <c r="G87" s="234">
        <f t="shared" si="1"/>
      </c>
      <c r="H87" s="83"/>
      <c r="I87" s="245">
        <f t="shared" si="2"/>
      </c>
      <c r="J87" s="245">
        <f t="shared" si="3"/>
      </c>
      <c r="K87" s="188">
        <f t="shared" si="4"/>
      </c>
      <c r="L87" s="187">
        <f t="shared" si="5"/>
      </c>
      <c r="M87" s="245">
        <f t="shared" si="6"/>
      </c>
      <c r="N87" s="245">
        <f t="shared" si="7"/>
      </c>
      <c r="O87" s="83"/>
      <c r="P87" s="253">
        <f t="shared" si="8"/>
      </c>
      <c r="Q87" s="254">
        <f t="shared" si="9"/>
      </c>
      <c r="R87"/>
      <c r="S87" s="1"/>
      <c r="T87"/>
      <c r="W87"/>
      <c r="X87"/>
      <c r="Z87"/>
    </row>
    <row r="88" spans="1:26" ht="12.75">
      <c r="A88" s="235">
        <f>IF(ISNUMBER('Data Entry'!$Q67),'Data Entry'!A67,"")</f>
      </c>
      <c r="B88" s="234">
        <f>IF(ISNUMBER('Data Entry'!$Q67),IF($B$3='Data Entry'!$B$8,'Data Entry'!L67,IF(AND($B$3=0,'Data Entry'!$B$8=1),'Data Entry'!L67/'Data Entry'!$B$9,IF(AND($B$3=1,'Data Entry'!$B$8=0),'Data Entry'!L67*'Data Entry'!$B$9,"Conversion Error"))),"")</f>
      </c>
      <c r="C88" s="234">
        <f>IF(ISNUMBER('Data Entry'!$Q67),IF(ISNUMBER('Data Entry'!$M67),'Data Entry'!$M67,IF(ISNUMBER('Data Entry'!$N67),'Data Entry'!$N67,"Error")),"")</f>
      </c>
      <c r="D88" s="236">
        <f>IF('Data Entry'!$Q67="","",IF(ISERROR($B88*COS(((360-$B$6)-$C88+90)*PI()/180)),"Error",$B88*COS(((360-$B$6)-$C88+90)*PI()/180)))</f>
      </c>
      <c r="E88" s="237">
        <f>IF('Data Entry'!$Q67="","",IF(ISERROR($B88*SIN(((360-$B$6)-$C88+90)*PI()/180)),"Error",$B88*SIN(((360-$B$6)-$C88+90)*PI()/180)))</f>
      </c>
      <c r="F88" s="234">
        <f t="shared" si="0"/>
      </c>
      <c r="G88" s="234">
        <f t="shared" si="1"/>
      </c>
      <c r="H88" s="83"/>
      <c r="I88" s="245">
        <f t="shared" si="2"/>
      </c>
      <c r="J88" s="245">
        <f t="shared" si="3"/>
      </c>
      <c r="K88" s="188">
        <f t="shared" si="4"/>
      </c>
      <c r="L88" s="187">
        <f t="shared" si="5"/>
      </c>
      <c r="M88" s="245">
        <f t="shared" si="6"/>
      </c>
      <c r="N88" s="245">
        <f t="shared" si="7"/>
      </c>
      <c r="O88" s="83"/>
      <c r="P88" s="253">
        <f t="shared" si="8"/>
      </c>
      <c r="Q88" s="254">
        <f t="shared" si="9"/>
      </c>
      <c r="R88"/>
      <c r="S88" s="1"/>
      <c r="T88"/>
      <c r="W88"/>
      <c r="X88"/>
      <c r="Z88"/>
    </row>
    <row r="89" spans="1:26" ht="12.75">
      <c r="A89" s="235">
        <f>IF(ISNUMBER('Data Entry'!$Q68),'Data Entry'!A68,"")</f>
      </c>
      <c r="B89" s="234">
        <f>IF(ISNUMBER('Data Entry'!$Q68),IF($B$3='Data Entry'!$B$8,'Data Entry'!L68,IF(AND($B$3=0,'Data Entry'!$B$8=1),'Data Entry'!L68/'Data Entry'!$B$9,IF(AND($B$3=1,'Data Entry'!$B$8=0),'Data Entry'!L68*'Data Entry'!$B$9,"Conversion Error"))),"")</f>
      </c>
      <c r="C89" s="234">
        <f>IF(ISNUMBER('Data Entry'!$Q68),IF(ISNUMBER('Data Entry'!$M68),'Data Entry'!$M68,IF(ISNUMBER('Data Entry'!$N68),'Data Entry'!$N68,"Error")),"")</f>
      </c>
      <c r="D89" s="236">
        <f>IF('Data Entry'!$Q68="","",IF(ISERROR($B89*COS(((360-$B$6)-$C89+90)*PI()/180)),"Error",$B89*COS(((360-$B$6)-$C89+90)*PI()/180)))</f>
      </c>
      <c r="E89" s="237">
        <f>IF('Data Entry'!$Q68="","",IF(ISERROR($B89*SIN(((360-$B$6)-$C89+90)*PI()/180)),"Error",$B89*SIN(((360-$B$6)-$C89+90)*PI()/180)))</f>
      </c>
      <c r="F89" s="234">
        <f t="shared" si="0"/>
      </c>
      <c r="G89" s="234">
        <f t="shared" si="1"/>
      </c>
      <c r="H89" s="83"/>
      <c r="I89" s="245">
        <f t="shared" si="2"/>
      </c>
      <c r="J89" s="245">
        <f t="shared" si="3"/>
      </c>
      <c r="K89" s="188">
        <f t="shared" si="4"/>
      </c>
      <c r="L89" s="187">
        <f t="shared" si="5"/>
      </c>
      <c r="M89" s="245">
        <f t="shared" si="6"/>
      </c>
      <c r="N89" s="245">
        <f t="shared" si="7"/>
      </c>
      <c r="O89" s="83"/>
      <c r="P89" s="253">
        <f t="shared" si="8"/>
      </c>
      <c r="Q89" s="254">
        <f t="shared" si="9"/>
      </c>
      <c r="R89"/>
      <c r="S89" s="1"/>
      <c r="T89"/>
      <c r="W89"/>
      <c r="X89"/>
      <c r="Z89"/>
    </row>
    <row r="90" spans="1:26" ht="12.75">
      <c r="A90" s="235">
        <f>IF(ISNUMBER('Data Entry'!$Q69),'Data Entry'!A69,"")</f>
      </c>
      <c r="B90" s="234">
        <f>IF(ISNUMBER('Data Entry'!$Q69),IF($B$3='Data Entry'!$B$8,'Data Entry'!L69,IF(AND($B$3=0,'Data Entry'!$B$8=1),'Data Entry'!L69/'Data Entry'!$B$9,IF(AND($B$3=1,'Data Entry'!$B$8=0),'Data Entry'!L69*'Data Entry'!$B$9,"Conversion Error"))),"")</f>
      </c>
      <c r="C90" s="234">
        <f>IF(ISNUMBER('Data Entry'!$Q69),IF(ISNUMBER('Data Entry'!$M69),'Data Entry'!$M69,IF(ISNUMBER('Data Entry'!$N69),'Data Entry'!$N69,"Error")),"")</f>
      </c>
      <c r="D90" s="236">
        <f>IF('Data Entry'!$Q69="","",IF(ISERROR($B90*COS(((360-$B$6)-$C90+90)*PI()/180)),"Error",$B90*COS(((360-$B$6)-$C90+90)*PI()/180)))</f>
      </c>
      <c r="E90" s="237">
        <f>IF('Data Entry'!$Q69="","",IF(ISERROR($B90*SIN(((360-$B$6)-$C90+90)*PI()/180)),"Error",$B90*SIN(((360-$B$6)-$C90+90)*PI()/180)))</f>
      </c>
      <c r="F90" s="234">
        <f t="shared" si="0"/>
      </c>
      <c r="G90" s="234">
        <f t="shared" si="1"/>
      </c>
      <c r="H90" s="83"/>
      <c r="I90" s="245">
        <f t="shared" si="2"/>
      </c>
      <c r="J90" s="245">
        <f t="shared" si="3"/>
      </c>
      <c r="K90" s="188">
        <f t="shared" si="4"/>
      </c>
      <c r="L90" s="187">
        <f t="shared" si="5"/>
      </c>
      <c r="M90" s="245">
        <f t="shared" si="6"/>
      </c>
      <c r="N90" s="245">
        <f t="shared" si="7"/>
      </c>
      <c r="O90" s="83"/>
      <c r="P90" s="253">
        <f t="shared" si="8"/>
      </c>
      <c r="Q90" s="254">
        <f t="shared" si="9"/>
      </c>
      <c r="R90"/>
      <c r="S90" s="1"/>
      <c r="T90"/>
      <c r="W90"/>
      <c r="X90"/>
      <c r="Z90"/>
    </row>
    <row r="91" spans="1:26" ht="12.75">
      <c r="A91" s="235">
        <f>IF(ISNUMBER('Data Entry'!$Q70),'Data Entry'!A70,"")</f>
      </c>
      <c r="B91" s="234">
        <f>IF(ISNUMBER('Data Entry'!$Q70),IF($B$3='Data Entry'!$B$8,'Data Entry'!L70,IF(AND($B$3=0,'Data Entry'!$B$8=1),'Data Entry'!L70/'Data Entry'!$B$9,IF(AND($B$3=1,'Data Entry'!$B$8=0),'Data Entry'!L70*'Data Entry'!$B$9,"Conversion Error"))),"")</f>
      </c>
      <c r="C91" s="234">
        <f>IF(ISNUMBER('Data Entry'!$Q70),IF(ISNUMBER('Data Entry'!$M70),'Data Entry'!$M70,IF(ISNUMBER('Data Entry'!$N70),'Data Entry'!$N70,"Error")),"")</f>
      </c>
      <c r="D91" s="236">
        <f>IF('Data Entry'!$Q70="","",IF(ISERROR($B91*COS(((360-$B$6)-$C91+90)*PI()/180)),"Error",$B91*COS(((360-$B$6)-$C91+90)*PI()/180)))</f>
      </c>
      <c r="E91" s="237">
        <f>IF('Data Entry'!$Q70="","",IF(ISERROR($B91*SIN(((360-$B$6)-$C91+90)*PI()/180)),"Error",$B91*SIN(((360-$B$6)-$C91+90)*PI()/180)))</f>
      </c>
      <c r="F91" s="234">
        <f t="shared" si="0"/>
      </c>
      <c r="G91" s="234">
        <f t="shared" si="1"/>
      </c>
      <c r="H91" s="83"/>
      <c r="I91" s="245">
        <f t="shared" si="2"/>
      </c>
      <c r="J91" s="245">
        <f t="shared" si="3"/>
      </c>
      <c r="K91" s="188">
        <f t="shared" si="4"/>
      </c>
      <c r="L91" s="187">
        <f t="shared" si="5"/>
      </c>
      <c r="M91" s="245">
        <f t="shared" si="6"/>
      </c>
      <c r="N91" s="245">
        <f t="shared" si="7"/>
      </c>
      <c r="O91" s="83"/>
      <c r="P91" s="253">
        <f t="shared" si="8"/>
      </c>
      <c r="Q91" s="254">
        <f t="shared" si="9"/>
      </c>
      <c r="R91"/>
      <c r="S91" s="1"/>
      <c r="T91"/>
      <c r="W91"/>
      <c r="X91"/>
      <c r="Z91"/>
    </row>
    <row r="92" spans="1:26" ht="12.75">
      <c r="A92" s="235">
        <f>IF(ISNUMBER('Data Entry'!$Q71),'Data Entry'!A71,"")</f>
      </c>
      <c r="B92" s="234">
        <f>IF(ISNUMBER('Data Entry'!$Q71),IF($B$3='Data Entry'!$B$8,'Data Entry'!L71,IF(AND($B$3=0,'Data Entry'!$B$8=1),'Data Entry'!L71/'Data Entry'!$B$9,IF(AND($B$3=1,'Data Entry'!$B$8=0),'Data Entry'!L71*'Data Entry'!$B$9,"Conversion Error"))),"")</f>
      </c>
      <c r="C92" s="234">
        <f>IF(ISNUMBER('Data Entry'!$Q71),IF(ISNUMBER('Data Entry'!$M71),'Data Entry'!$M71,IF(ISNUMBER('Data Entry'!$N71),'Data Entry'!$N71,"Error")),"")</f>
      </c>
      <c r="D92" s="236">
        <f>IF('Data Entry'!$Q71="","",IF(ISERROR($B92*COS(((360-$B$6)-$C92+90)*PI()/180)),"Error",$B92*COS(((360-$B$6)-$C92+90)*PI()/180)))</f>
      </c>
      <c r="E92" s="237">
        <f>IF('Data Entry'!$Q71="","",IF(ISERROR($B92*SIN(((360-$B$6)-$C92+90)*PI()/180)),"Error",$B92*SIN(((360-$B$6)-$C92+90)*PI()/180)))</f>
      </c>
      <c r="F92" s="234">
        <f t="shared" si="0"/>
      </c>
      <c r="G92" s="234">
        <f t="shared" si="1"/>
      </c>
      <c r="H92" s="83"/>
      <c r="I92" s="245">
        <f t="shared" si="2"/>
      </c>
      <c r="J92" s="245">
        <f t="shared" si="3"/>
      </c>
      <c r="K92" s="188">
        <f t="shared" si="4"/>
      </c>
      <c r="L92" s="187">
        <f t="shared" si="5"/>
      </c>
      <c r="M92" s="245">
        <f t="shared" si="6"/>
      </c>
      <c r="N92" s="245">
        <f t="shared" si="7"/>
      </c>
      <c r="O92" s="83"/>
      <c r="P92" s="253">
        <f t="shared" si="8"/>
      </c>
      <c r="Q92" s="254">
        <f t="shared" si="9"/>
      </c>
      <c r="R92"/>
      <c r="S92" s="1"/>
      <c r="T92"/>
      <c r="W92"/>
      <c r="X92"/>
      <c r="Z92"/>
    </row>
    <row r="93" spans="1:26" ht="12.75">
      <c r="A93" s="235">
        <f>IF(ISNUMBER('Data Entry'!$Q72),'Data Entry'!A72,"")</f>
      </c>
      <c r="B93" s="234">
        <f>IF(ISNUMBER('Data Entry'!$Q72),IF($B$3='Data Entry'!$B$8,'Data Entry'!L72,IF(AND($B$3=0,'Data Entry'!$B$8=1),'Data Entry'!L72/'Data Entry'!$B$9,IF(AND($B$3=1,'Data Entry'!$B$8=0),'Data Entry'!L72*'Data Entry'!$B$9,"Conversion Error"))),"")</f>
      </c>
      <c r="C93" s="234">
        <f>IF(ISNUMBER('Data Entry'!$Q72),IF(ISNUMBER('Data Entry'!$M72),'Data Entry'!$M72,IF(ISNUMBER('Data Entry'!$N72),'Data Entry'!$N72,"Error")),"")</f>
      </c>
      <c r="D93" s="236">
        <f>IF('Data Entry'!$Q72="","",IF(ISERROR($B93*COS(((360-$B$6)-$C93+90)*PI()/180)),"Error",$B93*COS(((360-$B$6)-$C93+90)*PI()/180)))</f>
      </c>
      <c r="E93" s="237">
        <f>IF('Data Entry'!$Q72="","",IF(ISERROR($B93*SIN(((360-$B$6)-$C93+90)*PI()/180)),"Error",$B93*SIN(((360-$B$6)-$C93+90)*PI()/180)))</f>
      </c>
      <c r="F93" s="234">
        <f t="shared" si="0"/>
      </c>
      <c r="G93" s="234">
        <f t="shared" si="1"/>
      </c>
      <c r="H93" s="83"/>
      <c r="I93" s="245">
        <f t="shared" si="2"/>
      </c>
      <c r="J93" s="245">
        <f t="shared" si="3"/>
      </c>
      <c r="K93" s="188">
        <f t="shared" si="4"/>
      </c>
      <c r="L93" s="187">
        <f t="shared" si="5"/>
      </c>
      <c r="M93" s="245">
        <f t="shared" si="6"/>
      </c>
      <c r="N93" s="245">
        <f t="shared" si="7"/>
      </c>
      <c r="O93" s="83"/>
      <c r="P93" s="253">
        <f t="shared" si="8"/>
      </c>
      <c r="Q93" s="254">
        <f t="shared" si="9"/>
      </c>
      <c r="R93"/>
      <c r="S93" s="1"/>
      <c r="T93"/>
      <c r="W93"/>
      <c r="X93"/>
      <c r="Z93"/>
    </row>
    <row r="94" spans="1:26" ht="12.75">
      <c r="A94" s="235">
        <f>IF(ISNUMBER('Data Entry'!$Q73),'Data Entry'!A73,"")</f>
      </c>
      <c r="B94" s="234">
        <f>IF(ISNUMBER('Data Entry'!$Q73),IF($B$3='Data Entry'!$B$8,'Data Entry'!L73,IF(AND($B$3=0,'Data Entry'!$B$8=1),'Data Entry'!L73/'Data Entry'!$B$9,IF(AND($B$3=1,'Data Entry'!$B$8=0),'Data Entry'!L73*'Data Entry'!$B$9,"Conversion Error"))),"")</f>
      </c>
      <c r="C94" s="234">
        <f>IF(ISNUMBER('Data Entry'!$Q73),IF(ISNUMBER('Data Entry'!$M73),'Data Entry'!$M73,IF(ISNUMBER('Data Entry'!$N73),'Data Entry'!$N73,"Error")),"")</f>
      </c>
      <c r="D94" s="236">
        <f>IF('Data Entry'!$Q73="","",IF(ISERROR($B94*COS(((360-$B$6)-$C94+90)*PI()/180)),"Error",$B94*COS(((360-$B$6)-$C94+90)*PI()/180)))</f>
      </c>
      <c r="E94" s="237">
        <f>IF('Data Entry'!$Q73="","",IF(ISERROR($B94*SIN(((360-$B$6)-$C94+90)*PI()/180)),"Error",$B94*SIN(((360-$B$6)-$C94+90)*PI()/180)))</f>
      </c>
      <c r="F94" s="234">
        <f t="shared" si="0"/>
      </c>
      <c r="G94" s="234">
        <f t="shared" si="1"/>
      </c>
      <c r="H94" s="83"/>
      <c r="I94" s="245">
        <f t="shared" si="2"/>
      </c>
      <c r="J94" s="245">
        <f t="shared" si="3"/>
      </c>
      <c r="K94" s="188">
        <f t="shared" si="4"/>
      </c>
      <c r="L94" s="187">
        <f t="shared" si="5"/>
      </c>
      <c r="M94" s="245">
        <f t="shared" si="6"/>
      </c>
      <c r="N94" s="245">
        <f t="shared" si="7"/>
      </c>
      <c r="O94" s="83"/>
      <c r="P94" s="253">
        <f t="shared" si="8"/>
      </c>
      <c r="Q94" s="254">
        <f t="shared" si="9"/>
      </c>
      <c r="R94"/>
      <c r="S94" s="1"/>
      <c r="T94"/>
      <c r="W94"/>
      <c r="X94"/>
      <c r="Z94"/>
    </row>
    <row r="95" spans="1:26" ht="12.75">
      <c r="A95" s="235">
        <f>IF(ISNUMBER('Data Entry'!$Q74),'Data Entry'!A74,"")</f>
      </c>
      <c r="B95" s="234">
        <f>IF(ISNUMBER('Data Entry'!$Q74),IF($B$3='Data Entry'!$B$8,'Data Entry'!L74,IF(AND($B$3=0,'Data Entry'!$B$8=1),'Data Entry'!L74/'Data Entry'!$B$9,IF(AND($B$3=1,'Data Entry'!$B$8=0),'Data Entry'!L74*'Data Entry'!$B$9,"Conversion Error"))),"")</f>
      </c>
      <c r="C95" s="234">
        <f>IF(ISNUMBER('Data Entry'!$Q74),IF(ISNUMBER('Data Entry'!$M74),'Data Entry'!$M74,IF(ISNUMBER('Data Entry'!$N74),'Data Entry'!$N74,"Error")),"")</f>
      </c>
      <c r="D95" s="236">
        <f>IF('Data Entry'!$Q74="","",IF(ISERROR($B95*COS(((360-$B$6)-$C95+90)*PI()/180)),"Error",$B95*COS(((360-$B$6)-$C95+90)*PI()/180)))</f>
      </c>
      <c r="E95" s="237">
        <f>IF('Data Entry'!$Q74="","",IF(ISERROR($B95*SIN(((360-$B$6)-$C95+90)*PI()/180)),"Error",$B95*SIN(((360-$B$6)-$C95+90)*PI()/180)))</f>
      </c>
      <c r="F95" s="234">
        <f t="shared" si="0"/>
      </c>
      <c r="G95" s="234">
        <f t="shared" si="1"/>
      </c>
      <c r="H95" s="83"/>
      <c r="I95" s="245">
        <f t="shared" si="2"/>
      </c>
      <c r="J95" s="245">
        <f t="shared" si="3"/>
      </c>
      <c r="K95" s="188">
        <f t="shared" si="4"/>
      </c>
      <c r="L95" s="187">
        <f t="shared" si="5"/>
      </c>
      <c r="M95" s="245">
        <f t="shared" si="6"/>
      </c>
      <c r="N95" s="245">
        <f t="shared" si="7"/>
      </c>
      <c r="O95" s="83"/>
      <c r="P95" s="253">
        <f t="shared" si="8"/>
      </c>
      <c r="Q95" s="254">
        <f t="shared" si="9"/>
      </c>
      <c r="R95"/>
      <c r="S95" s="1"/>
      <c r="T95"/>
      <c r="W95"/>
      <c r="X95"/>
      <c r="Z95"/>
    </row>
    <row r="96" spans="1:26" ht="12.75">
      <c r="A96" s="235">
        <f>IF(ISNUMBER('Data Entry'!$Q75),'Data Entry'!A75,"")</f>
      </c>
      <c r="B96" s="234">
        <f>IF(ISNUMBER('Data Entry'!$Q75),IF($B$3='Data Entry'!$B$8,'Data Entry'!L75,IF(AND($B$3=0,'Data Entry'!$B$8=1),'Data Entry'!L75/'Data Entry'!$B$9,IF(AND($B$3=1,'Data Entry'!$B$8=0),'Data Entry'!L75*'Data Entry'!$B$9,"Conversion Error"))),"")</f>
      </c>
      <c r="C96" s="234">
        <f>IF(ISNUMBER('Data Entry'!$Q75),IF(ISNUMBER('Data Entry'!$M75),'Data Entry'!$M75,IF(ISNUMBER('Data Entry'!$N75),'Data Entry'!$N75,"Error")),"")</f>
      </c>
      <c r="D96" s="236">
        <f>IF('Data Entry'!$Q75="","",IF(ISERROR($B96*COS(((360-$B$6)-$C96+90)*PI()/180)),"Error",$B96*COS(((360-$B$6)-$C96+90)*PI()/180)))</f>
      </c>
      <c r="E96" s="237">
        <f>IF('Data Entry'!$Q75="","",IF(ISERROR($B96*SIN(((360-$B$6)-$C96+90)*PI()/180)),"Error",$B96*SIN(((360-$B$6)-$C96+90)*PI()/180)))</f>
      </c>
      <c r="F96" s="234">
        <f t="shared" si="0"/>
      </c>
      <c r="G96" s="234">
        <f t="shared" si="1"/>
      </c>
      <c r="H96" s="83"/>
      <c r="I96" s="245">
        <f t="shared" si="2"/>
      </c>
      <c r="J96" s="245">
        <f t="shared" si="3"/>
      </c>
      <c r="K96" s="188">
        <f t="shared" si="4"/>
      </c>
      <c r="L96" s="187">
        <f t="shared" si="5"/>
      </c>
      <c r="M96" s="245">
        <f t="shared" si="6"/>
      </c>
      <c r="N96" s="245">
        <f t="shared" si="7"/>
      </c>
      <c r="O96" s="83"/>
      <c r="P96" s="253">
        <f t="shared" si="8"/>
      </c>
      <c r="Q96" s="254">
        <f t="shared" si="9"/>
      </c>
      <c r="R96"/>
      <c r="S96" s="1"/>
      <c r="T96"/>
      <c r="W96"/>
      <c r="X96"/>
      <c r="Z96"/>
    </row>
    <row r="97" spans="1:26" ht="12.75">
      <c r="A97" s="235">
        <f>IF(ISNUMBER('Data Entry'!$Q76),'Data Entry'!A76,"")</f>
      </c>
      <c r="B97" s="234">
        <f>IF(ISNUMBER('Data Entry'!$Q76),IF($B$3='Data Entry'!$B$8,'Data Entry'!L76,IF(AND($B$3=0,'Data Entry'!$B$8=1),'Data Entry'!L76/'Data Entry'!$B$9,IF(AND($B$3=1,'Data Entry'!$B$8=0),'Data Entry'!L76*'Data Entry'!$B$9,"Conversion Error"))),"")</f>
      </c>
      <c r="C97" s="234">
        <f>IF(ISNUMBER('Data Entry'!$Q76),IF(ISNUMBER('Data Entry'!$M76),'Data Entry'!$M76,IF(ISNUMBER('Data Entry'!$N76),'Data Entry'!$N76,"Error")),"")</f>
      </c>
      <c r="D97" s="236">
        <f>IF('Data Entry'!$Q76="","",IF(ISERROR($B97*COS(((360-$B$6)-$C97+90)*PI()/180)),"Error",$B97*COS(((360-$B$6)-$C97+90)*PI()/180)))</f>
      </c>
      <c r="E97" s="237">
        <f>IF('Data Entry'!$Q76="","",IF(ISERROR($B97*SIN(((360-$B$6)-$C97+90)*PI()/180)),"Error",$B97*SIN(((360-$B$6)-$C97+90)*PI()/180)))</f>
      </c>
      <c r="F97" s="234">
        <f t="shared" si="0"/>
      </c>
      <c r="G97" s="234">
        <f t="shared" si="1"/>
      </c>
      <c r="H97" s="83"/>
      <c r="I97" s="245">
        <f t="shared" si="2"/>
      </c>
      <c r="J97" s="245">
        <f t="shared" si="3"/>
      </c>
      <c r="K97" s="188">
        <f t="shared" si="4"/>
      </c>
      <c r="L97" s="187">
        <f t="shared" si="5"/>
      </c>
      <c r="M97" s="245">
        <f t="shared" si="6"/>
      </c>
      <c r="N97" s="245">
        <f t="shared" si="7"/>
      </c>
      <c r="O97" s="83"/>
      <c r="P97" s="253">
        <f t="shared" si="8"/>
      </c>
      <c r="Q97" s="254">
        <f t="shared" si="9"/>
      </c>
      <c r="R97"/>
      <c r="S97" s="1"/>
      <c r="T97"/>
      <c r="W97"/>
      <c r="X97"/>
      <c r="Z97"/>
    </row>
    <row r="98" spans="1:26" ht="12.75">
      <c r="A98" s="235">
        <f>IF(ISNUMBER('Data Entry'!$Q77),'Data Entry'!A77,"")</f>
      </c>
      <c r="B98" s="234">
        <f>IF(ISNUMBER('Data Entry'!$Q77),IF($B$3='Data Entry'!$B$8,'Data Entry'!L77,IF(AND($B$3=0,'Data Entry'!$B$8=1),'Data Entry'!L77/'Data Entry'!$B$9,IF(AND($B$3=1,'Data Entry'!$B$8=0),'Data Entry'!L77*'Data Entry'!$B$9,"Conversion Error"))),"")</f>
      </c>
      <c r="C98" s="234">
        <f>IF(ISNUMBER('Data Entry'!$Q77),IF(ISNUMBER('Data Entry'!$M77),'Data Entry'!$M77,IF(ISNUMBER('Data Entry'!$N77),'Data Entry'!$N77,"Error")),"")</f>
      </c>
      <c r="D98" s="236">
        <f>IF('Data Entry'!$Q77="","",IF(ISERROR($B98*COS(((360-$B$6)-$C98+90)*PI()/180)),"Error",$B98*COS(((360-$B$6)-$C98+90)*PI()/180)))</f>
      </c>
      <c r="E98" s="237">
        <f>IF('Data Entry'!$Q77="","",IF(ISERROR($B98*SIN(((360-$B$6)-$C98+90)*PI()/180)),"Error",$B98*SIN(((360-$B$6)-$C98+90)*PI()/180)))</f>
      </c>
      <c r="F98" s="234">
        <f t="shared" si="0"/>
      </c>
      <c r="G98" s="234">
        <f t="shared" si="1"/>
      </c>
      <c r="H98" s="83"/>
      <c r="I98" s="245">
        <f t="shared" si="2"/>
      </c>
      <c r="J98" s="245">
        <f t="shared" si="3"/>
      </c>
      <c r="K98" s="188">
        <f t="shared" si="4"/>
      </c>
      <c r="L98" s="187">
        <f t="shared" si="5"/>
      </c>
      <c r="M98" s="245">
        <f t="shared" si="6"/>
      </c>
      <c r="N98" s="245">
        <f t="shared" si="7"/>
      </c>
      <c r="O98" s="83"/>
      <c r="P98" s="253">
        <f t="shared" si="8"/>
      </c>
      <c r="Q98" s="254">
        <f t="shared" si="9"/>
      </c>
      <c r="R98"/>
      <c r="S98" s="1"/>
      <c r="T98"/>
      <c r="W98"/>
      <c r="X98"/>
      <c r="Z98"/>
    </row>
    <row r="99" spans="1:26" ht="12.75">
      <c r="A99" s="235">
        <f>IF(ISNUMBER('Data Entry'!$Q78),'Data Entry'!A78,"")</f>
      </c>
      <c r="B99" s="234">
        <f>IF(ISNUMBER('Data Entry'!$Q78),IF($B$3='Data Entry'!$B$8,'Data Entry'!L78,IF(AND($B$3=0,'Data Entry'!$B$8=1),'Data Entry'!L78/'Data Entry'!$B$9,IF(AND($B$3=1,'Data Entry'!$B$8=0),'Data Entry'!L78*'Data Entry'!$B$9,"Conversion Error"))),"")</f>
      </c>
      <c r="C99" s="234">
        <f>IF(ISNUMBER('Data Entry'!$Q78),IF(ISNUMBER('Data Entry'!$M78),'Data Entry'!$M78,IF(ISNUMBER('Data Entry'!$N78),'Data Entry'!$N78,"Error")),"")</f>
      </c>
      <c r="D99" s="236">
        <f>IF('Data Entry'!$Q78="","",IF(ISERROR($B99*COS(((360-$B$6)-$C99+90)*PI()/180)),"Error",$B99*COS(((360-$B$6)-$C99+90)*PI()/180)))</f>
      </c>
      <c r="E99" s="237">
        <f>IF('Data Entry'!$Q78="","",IF(ISERROR($B99*SIN(((360-$B$6)-$C99+90)*PI()/180)),"Error",$B99*SIN(((360-$B$6)-$C99+90)*PI()/180)))</f>
      </c>
      <c r="F99" s="234">
        <f t="shared" si="0"/>
      </c>
      <c r="G99" s="234">
        <f t="shared" si="1"/>
      </c>
      <c r="H99" s="83"/>
      <c r="I99" s="245">
        <f t="shared" si="2"/>
      </c>
      <c r="J99" s="245">
        <f t="shared" si="3"/>
      </c>
      <c r="K99" s="188">
        <f t="shared" si="4"/>
      </c>
      <c r="L99" s="187">
        <f t="shared" si="5"/>
      </c>
      <c r="M99" s="245">
        <f t="shared" si="6"/>
      </c>
      <c r="N99" s="245">
        <f t="shared" si="7"/>
      </c>
      <c r="O99" s="83"/>
      <c r="P99" s="253">
        <f t="shared" si="8"/>
      </c>
      <c r="Q99" s="254">
        <f t="shared" si="9"/>
      </c>
      <c r="R99"/>
      <c r="S99" s="1"/>
      <c r="T99"/>
      <c r="W99"/>
      <c r="X99"/>
      <c r="Z99"/>
    </row>
    <row r="100" spans="1:26" ht="12.75">
      <c r="A100" s="235">
        <f>IF(ISNUMBER('Data Entry'!$Q79),'Data Entry'!A79,"")</f>
      </c>
      <c r="B100" s="234">
        <f>IF(ISNUMBER('Data Entry'!$Q79),IF($B$3='Data Entry'!$B$8,'Data Entry'!L79,IF(AND($B$3=0,'Data Entry'!$B$8=1),'Data Entry'!L79/'Data Entry'!$B$9,IF(AND($B$3=1,'Data Entry'!$B$8=0),'Data Entry'!L79*'Data Entry'!$B$9,"Conversion Error"))),"")</f>
      </c>
      <c r="C100" s="234">
        <f>IF(ISNUMBER('Data Entry'!$Q79),IF(ISNUMBER('Data Entry'!$M79),'Data Entry'!$M79,IF(ISNUMBER('Data Entry'!$N79),'Data Entry'!$N79,"Error")),"")</f>
      </c>
      <c r="D100" s="236">
        <f>IF('Data Entry'!$Q79="","",IF(ISERROR($B100*COS(((360-$B$6)-$C100+90)*PI()/180)),"Error",$B100*COS(((360-$B$6)-$C100+90)*PI()/180)))</f>
      </c>
      <c r="E100" s="237">
        <f>IF('Data Entry'!$Q79="","",IF(ISERROR($B100*SIN(((360-$B$6)-$C100+90)*PI()/180)),"Error",$B100*SIN(((360-$B$6)-$C100+90)*PI()/180)))</f>
      </c>
      <c r="F100" s="234">
        <f t="shared" si="0"/>
      </c>
      <c r="G100" s="234">
        <f t="shared" si="1"/>
      </c>
      <c r="H100" s="83"/>
      <c r="I100" s="245">
        <f t="shared" si="2"/>
      </c>
      <c r="J100" s="245">
        <f t="shared" si="3"/>
      </c>
      <c r="K100" s="188">
        <f t="shared" si="4"/>
      </c>
      <c r="L100" s="187">
        <f t="shared" si="5"/>
      </c>
      <c r="M100" s="245">
        <f t="shared" si="6"/>
      </c>
      <c r="N100" s="245">
        <f t="shared" si="7"/>
      </c>
      <c r="O100" s="83"/>
      <c r="P100" s="253">
        <f t="shared" si="8"/>
      </c>
      <c r="Q100" s="254">
        <f t="shared" si="9"/>
      </c>
      <c r="R100"/>
      <c r="S100" s="1"/>
      <c r="T100"/>
      <c r="W100"/>
      <c r="X100"/>
      <c r="Z100"/>
    </row>
    <row r="101" spans="1:26" ht="12.75">
      <c r="A101" s="235">
        <f>IF(ISNUMBER('Data Entry'!$Q80),'Data Entry'!A80,"")</f>
      </c>
      <c r="B101" s="234">
        <f>IF(ISNUMBER('Data Entry'!$Q80),IF($B$3='Data Entry'!$B$8,'Data Entry'!L80,IF(AND($B$3=0,'Data Entry'!$B$8=1),'Data Entry'!L80/'Data Entry'!$B$9,IF(AND($B$3=1,'Data Entry'!$B$8=0),'Data Entry'!L80*'Data Entry'!$B$9,"Conversion Error"))),"")</f>
      </c>
      <c r="C101" s="234">
        <f>IF(ISNUMBER('Data Entry'!$Q80),IF(ISNUMBER('Data Entry'!$M80),'Data Entry'!$M80,IF(ISNUMBER('Data Entry'!$N80),'Data Entry'!$N80,"Error")),"")</f>
      </c>
      <c r="D101" s="236">
        <f>IF('Data Entry'!$Q80="","",IF(ISERROR($B101*COS(((360-$B$6)-$C101+90)*PI()/180)),"Error",$B101*COS(((360-$B$6)-$C101+90)*PI()/180)))</f>
      </c>
      <c r="E101" s="237">
        <f>IF('Data Entry'!$Q80="","",IF(ISERROR($B101*SIN(((360-$B$6)-$C101+90)*PI()/180)),"Error",$B101*SIN(((360-$B$6)-$C101+90)*PI()/180)))</f>
      </c>
      <c r="F101" s="234">
        <f t="shared" si="0"/>
      </c>
      <c r="G101" s="234">
        <f t="shared" si="1"/>
      </c>
      <c r="H101" s="83"/>
      <c r="I101" s="245">
        <f t="shared" si="2"/>
      </c>
      <c r="J101" s="245">
        <f t="shared" si="3"/>
      </c>
      <c r="K101" s="188">
        <f t="shared" si="4"/>
      </c>
      <c r="L101" s="187">
        <f t="shared" si="5"/>
      </c>
      <c r="M101" s="245">
        <f t="shared" si="6"/>
      </c>
      <c r="N101" s="245">
        <f t="shared" si="7"/>
      </c>
      <c r="O101" s="83"/>
      <c r="P101" s="253">
        <f t="shared" si="8"/>
      </c>
      <c r="Q101" s="254">
        <f t="shared" si="9"/>
      </c>
      <c r="R101"/>
      <c r="S101" s="1"/>
      <c r="T101"/>
      <c r="W101"/>
      <c r="X101"/>
      <c r="Z101"/>
    </row>
    <row r="102" spans="1:26" ht="12.75">
      <c r="A102" s="235">
        <f>IF(ISNUMBER('Data Entry'!$Q81),'Data Entry'!A81,"")</f>
      </c>
      <c r="B102" s="234">
        <f>IF(ISNUMBER('Data Entry'!$Q81),IF($B$3='Data Entry'!$B$8,'Data Entry'!L81,IF(AND($B$3=0,'Data Entry'!$B$8=1),'Data Entry'!L81/'Data Entry'!$B$9,IF(AND($B$3=1,'Data Entry'!$B$8=0),'Data Entry'!L81*'Data Entry'!$B$9,"Conversion Error"))),"")</f>
      </c>
      <c r="C102" s="234">
        <f>IF(ISNUMBER('Data Entry'!$Q81),IF(ISNUMBER('Data Entry'!$M81),'Data Entry'!$M81,IF(ISNUMBER('Data Entry'!$N81),'Data Entry'!$N81,"Error")),"")</f>
      </c>
      <c r="D102" s="236">
        <f>IF('Data Entry'!$Q81="","",IF(ISERROR($B102*COS(((360-$B$6)-$C102+90)*PI()/180)),"Error",$B102*COS(((360-$B$6)-$C102+90)*PI()/180)))</f>
      </c>
      <c r="E102" s="237">
        <f>IF('Data Entry'!$Q81="","",IF(ISERROR($B102*SIN(((360-$B$6)-$C102+90)*PI()/180)),"Error",$B102*SIN(((360-$B$6)-$C102+90)*PI()/180)))</f>
      </c>
      <c r="F102" s="234">
        <f t="shared" si="0"/>
      </c>
      <c r="G102" s="234">
        <f t="shared" si="1"/>
      </c>
      <c r="H102" s="83"/>
      <c r="I102" s="245">
        <f t="shared" si="2"/>
      </c>
      <c r="J102" s="245">
        <f aca="true" t="shared" si="10" ref="J102:J133">IF(K102="","",IF(AND($K102&gt;0,$L102&gt;0),(360-ATAN($L102/$K102)*180/PI()+360-$B$6+90)-(360*(INT((360-ATAN($L102/$K102)*180/PI()+360-$B$6+90)/360))),(IF(AND($K102&gt;0,$L102&lt;0),(0-ATAN($L102/$K102)*180/PI()+360-$B$6+90)-(360*(INT((0-ATAN($L102/$K102)*180/PI()+360-$B$6+90)/360))),(IF(AND($K102&lt;0,$L102&lt;0),(180-ATAN($L102/$K102)*180/PI()+360-$B$6+90)-(360*(INT((180-ATAN($L102/$K102)*180/PI()+360-$B$6+90)/360))),(180-ATAN($L102/$K102)*180/PI()+360-$B$6+90)-(360*(INT((180-ATAN($L102/$K102)*180/PI()+360-$B$6+90)/360)))))))))</f>
      </c>
      <c r="K102" s="188">
        <f t="shared" si="4"/>
      </c>
      <c r="L102" s="187">
        <f t="shared" si="5"/>
      </c>
      <c r="M102" s="245">
        <f t="shared" si="6"/>
      </c>
      <c r="N102" s="245">
        <f t="shared" si="7"/>
      </c>
      <c r="O102" s="83"/>
      <c r="P102" s="253">
        <f aca="true" t="shared" si="11" ref="P102:P137">IF(ISERROR(M102*N103),"",(M102*N103))</f>
      </c>
      <c r="Q102" s="254">
        <f t="shared" si="9"/>
      </c>
      <c r="R102"/>
      <c r="S102" s="1"/>
      <c r="T102"/>
      <c r="W102"/>
      <c r="X102"/>
      <c r="Z102"/>
    </row>
    <row r="103" spans="1:26" ht="12.75">
      <c r="A103" s="235">
        <f>IF(ISNUMBER('Data Entry'!$Q82),'Data Entry'!A82,"")</f>
      </c>
      <c r="B103" s="234">
        <f>IF(ISNUMBER('Data Entry'!$Q82),IF($B$3='Data Entry'!$B$8,'Data Entry'!L82,IF(AND($B$3=0,'Data Entry'!$B$8=1),'Data Entry'!L82/'Data Entry'!$B$9,IF(AND($B$3=1,'Data Entry'!$B$8=0),'Data Entry'!L82*'Data Entry'!$B$9,"Conversion Error"))),"")</f>
      </c>
      <c r="C103" s="234">
        <f>IF(ISNUMBER('Data Entry'!$Q82),IF(ISNUMBER('Data Entry'!$M82),'Data Entry'!$M82,IF(ISNUMBER('Data Entry'!$N82),'Data Entry'!$N82,"Error")),"")</f>
      </c>
      <c r="D103" s="236">
        <f>IF('Data Entry'!$Q82="","",IF(ISERROR($B103*COS(((360-$B$6)-$C103+90)*PI()/180)),"Error",$B103*COS(((360-$B$6)-$C103+90)*PI()/180)))</f>
      </c>
      <c r="E103" s="237">
        <f>IF('Data Entry'!$Q82="","",IF(ISERROR($B103*SIN(((360-$B$6)-$C103+90)*PI()/180)),"Error",$B103*SIN(((360-$B$6)-$C103+90)*PI()/180)))</f>
      </c>
      <c r="F103" s="234">
        <f aca="true" t="shared" si="12" ref="F103:G137">IF(ISERROR(F102+D103),"",F102+D103)</f>
      </c>
      <c r="G103" s="234">
        <f t="shared" si="12"/>
      </c>
      <c r="H103" s="83"/>
      <c r="I103" s="245">
        <f aca="true" t="shared" si="13" ref="I103:I137">IF(ISERROR(SQRT(K103^2+L103^2)),"",(SQRT(K103^2+L103^2)))</f>
      </c>
      <c r="J103" s="245">
        <f t="shared" si="10"/>
      </c>
      <c r="K103" s="188">
        <f aca="true" t="shared" si="14" ref="K103:L137">IF(ISERROR((D103-((SUM(D$38:D$137)/SUM($B$38:$B$137))*$B103))),"",(D103-((SUM(D$38:D$137)/SUM($B$38:$B$137))*$B103)))</f>
      </c>
      <c r="L103" s="187">
        <f t="shared" si="14"/>
      </c>
      <c r="M103" s="245">
        <f t="shared" si="6"/>
      </c>
      <c r="N103" s="245">
        <f t="shared" si="7"/>
      </c>
      <c r="O103" s="83"/>
      <c r="P103" s="253">
        <f t="shared" si="11"/>
      </c>
      <c r="Q103" s="254">
        <f t="shared" si="9"/>
      </c>
      <c r="R103"/>
      <c r="S103" s="1"/>
      <c r="T103"/>
      <c r="W103"/>
      <c r="X103"/>
      <c r="Z103"/>
    </row>
    <row r="104" spans="1:26" ht="12.75">
      <c r="A104" s="235">
        <f>IF(ISNUMBER('Data Entry'!$Q83),'Data Entry'!A83,"")</f>
      </c>
      <c r="B104" s="234">
        <f>IF(ISNUMBER('Data Entry'!$Q83),IF($B$3='Data Entry'!$B$8,'Data Entry'!L83,IF(AND($B$3=0,'Data Entry'!$B$8=1),'Data Entry'!L83/'Data Entry'!$B$9,IF(AND($B$3=1,'Data Entry'!$B$8=0),'Data Entry'!L83*'Data Entry'!$B$9,"Conversion Error"))),"")</f>
      </c>
      <c r="C104" s="234">
        <f>IF(ISNUMBER('Data Entry'!$Q83),IF(ISNUMBER('Data Entry'!$M83),'Data Entry'!$M83,IF(ISNUMBER('Data Entry'!$N83),'Data Entry'!$N83,"Error")),"")</f>
      </c>
      <c r="D104" s="236">
        <f>IF('Data Entry'!$Q83="","",IF(ISERROR($B104*COS(((360-$B$6)-$C104+90)*PI()/180)),"Error",$B104*COS(((360-$B$6)-$C104+90)*PI()/180)))</f>
      </c>
      <c r="E104" s="237">
        <f>IF('Data Entry'!$Q83="","",IF(ISERROR($B104*SIN(((360-$B$6)-$C104+90)*PI()/180)),"Error",$B104*SIN(((360-$B$6)-$C104+90)*PI()/180)))</f>
      </c>
      <c r="F104" s="234">
        <f t="shared" si="12"/>
      </c>
      <c r="G104" s="234">
        <f t="shared" si="12"/>
      </c>
      <c r="H104" s="83"/>
      <c r="I104" s="245">
        <f t="shared" si="13"/>
      </c>
      <c r="J104" s="245">
        <f t="shared" si="10"/>
      </c>
      <c r="K104" s="188">
        <f t="shared" si="14"/>
      </c>
      <c r="L104" s="187">
        <f t="shared" si="14"/>
      </c>
      <c r="M104" s="245">
        <f aca="true" t="shared" si="15" ref="M104:N137">IF(ISERROR(M103+K104),"",(M103+K104))</f>
      </c>
      <c r="N104" s="245">
        <f t="shared" si="15"/>
      </c>
      <c r="O104" s="83"/>
      <c r="P104" s="253">
        <f t="shared" si="11"/>
      </c>
      <c r="Q104" s="254">
        <f t="shared" si="9"/>
      </c>
      <c r="R104"/>
      <c r="S104" s="1"/>
      <c r="T104"/>
      <c r="W104"/>
      <c r="X104"/>
      <c r="Z104"/>
    </row>
    <row r="105" spans="1:26" ht="12.75">
      <c r="A105" s="235">
        <f>IF(ISNUMBER('Data Entry'!$Q84),'Data Entry'!A84,"")</f>
      </c>
      <c r="B105" s="234">
        <f>IF(ISNUMBER('Data Entry'!$Q84),IF($B$3='Data Entry'!$B$8,'Data Entry'!L84,IF(AND($B$3=0,'Data Entry'!$B$8=1),'Data Entry'!L84/'Data Entry'!$B$9,IF(AND($B$3=1,'Data Entry'!$B$8=0),'Data Entry'!L84*'Data Entry'!$B$9,"Conversion Error"))),"")</f>
      </c>
      <c r="C105" s="234">
        <f>IF(ISNUMBER('Data Entry'!$Q84),IF(ISNUMBER('Data Entry'!$M84),'Data Entry'!$M84,IF(ISNUMBER('Data Entry'!$N84),'Data Entry'!$N84,"Error")),"")</f>
      </c>
      <c r="D105" s="236">
        <f>IF('Data Entry'!$Q84="","",IF(ISERROR($B105*COS(((360-$B$6)-$C105+90)*PI()/180)),"Error",$B105*COS(((360-$B$6)-$C105+90)*PI()/180)))</f>
      </c>
      <c r="E105" s="237">
        <f>IF('Data Entry'!$Q84="","",IF(ISERROR($B105*SIN(((360-$B$6)-$C105+90)*PI()/180)),"Error",$B105*SIN(((360-$B$6)-$C105+90)*PI()/180)))</f>
      </c>
      <c r="F105" s="234">
        <f t="shared" si="12"/>
      </c>
      <c r="G105" s="234">
        <f t="shared" si="12"/>
      </c>
      <c r="H105" s="83"/>
      <c r="I105" s="245">
        <f t="shared" si="13"/>
      </c>
      <c r="J105" s="245">
        <f t="shared" si="10"/>
      </c>
      <c r="K105" s="188">
        <f t="shared" si="14"/>
      </c>
      <c r="L105" s="187">
        <f t="shared" si="14"/>
      </c>
      <c r="M105" s="245">
        <f t="shared" si="15"/>
      </c>
      <c r="N105" s="245">
        <f t="shared" si="15"/>
      </c>
      <c r="O105" s="83"/>
      <c r="P105" s="253">
        <f t="shared" si="11"/>
      </c>
      <c r="Q105" s="254">
        <f t="shared" si="9"/>
      </c>
      <c r="R105"/>
      <c r="S105" s="1"/>
      <c r="T105"/>
      <c r="W105"/>
      <c r="X105"/>
      <c r="Z105"/>
    </row>
    <row r="106" spans="1:26" ht="12.75">
      <c r="A106" s="235">
        <f>IF(ISNUMBER('Data Entry'!$Q85),'Data Entry'!A85,"")</f>
      </c>
      <c r="B106" s="234">
        <f>IF(ISNUMBER('Data Entry'!$Q85),IF($B$3='Data Entry'!$B$8,'Data Entry'!L85,IF(AND($B$3=0,'Data Entry'!$B$8=1),'Data Entry'!L85/'Data Entry'!$B$9,IF(AND($B$3=1,'Data Entry'!$B$8=0),'Data Entry'!L85*'Data Entry'!$B$9,"Conversion Error"))),"")</f>
      </c>
      <c r="C106" s="234">
        <f>IF(ISNUMBER('Data Entry'!$Q85),IF(ISNUMBER('Data Entry'!$M85),'Data Entry'!$M85,IF(ISNUMBER('Data Entry'!$N85),'Data Entry'!$N85,"Error")),"")</f>
      </c>
      <c r="D106" s="236">
        <f>IF('Data Entry'!$Q85="","",IF(ISERROR($B106*COS(((360-$B$6)-$C106+90)*PI()/180)),"Error",$B106*COS(((360-$B$6)-$C106+90)*PI()/180)))</f>
      </c>
      <c r="E106" s="237">
        <f>IF('Data Entry'!$Q85="","",IF(ISERROR($B106*SIN(((360-$B$6)-$C106+90)*PI()/180)),"Error",$B106*SIN(((360-$B$6)-$C106+90)*PI()/180)))</f>
      </c>
      <c r="F106" s="234">
        <f t="shared" si="12"/>
      </c>
      <c r="G106" s="234">
        <f t="shared" si="12"/>
      </c>
      <c r="H106" s="83"/>
      <c r="I106" s="245">
        <f t="shared" si="13"/>
      </c>
      <c r="J106" s="245">
        <f t="shared" si="10"/>
      </c>
      <c r="K106" s="188">
        <f t="shared" si="14"/>
      </c>
      <c r="L106" s="187">
        <f t="shared" si="14"/>
      </c>
      <c r="M106" s="245">
        <f t="shared" si="15"/>
      </c>
      <c r="N106" s="245">
        <f t="shared" si="15"/>
      </c>
      <c r="O106" s="83"/>
      <c r="P106" s="253">
        <f t="shared" si="11"/>
      </c>
      <c r="Q106" s="254">
        <f aca="true" t="shared" si="16" ref="Q106:Q137">IF(ISERROR(N106*M107),"",(N106*M107))</f>
      </c>
      <c r="R106"/>
      <c r="S106" s="1"/>
      <c r="T106"/>
      <c r="W106"/>
      <c r="X106"/>
      <c r="Z106"/>
    </row>
    <row r="107" spans="1:26" ht="12.75">
      <c r="A107" s="235">
        <f>IF(ISNUMBER('Data Entry'!$Q86),'Data Entry'!A86,"")</f>
      </c>
      <c r="B107" s="234">
        <f>IF(ISNUMBER('Data Entry'!$Q86),IF($B$3='Data Entry'!$B$8,'Data Entry'!L86,IF(AND($B$3=0,'Data Entry'!$B$8=1),'Data Entry'!L86/'Data Entry'!$B$9,IF(AND($B$3=1,'Data Entry'!$B$8=0),'Data Entry'!L86*'Data Entry'!$B$9,"Conversion Error"))),"")</f>
      </c>
      <c r="C107" s="234">
        <f>IF(ISNUMBER('Data Entry'!$Q86),IF(ISNUMBER('Data Entry'!$M86),'Data Entry'!$M86,IF(ISNUMBER('Data Entry'!$N86),'Data Entry'!$N86,"Error")),"")</f>
      </c>
      <c r="D107" s="236">
        <f>IF('Data Entry'!$Q86="","",IF(ISERROR($B107*COS(((360-$B$6)-$C107+90)*PI()/180)),"Error",$B107*COS(((360-$B$6)-$C107+90)*PI()/180)))</f>
      </c>
      <c r="E107" s="237">
        <f>IF('Data Entry'!$Q86="","",IF(ISERROR($B107*SIN(((360-$B$6)-$C107+90)*PI()/180)),"Error",$B107*SIN(((360-$B$6)-$C107+90)*PI()/180)))</f>
      </c>
      <c r="F107" s="234">
        <f t="shared" si="12"/>
      </c>
      <c r="G107" s="234">
        <f t="shared" si="12"/>
      </c>
      <c r="H107" s="83"/>
      <c r="I107" s="245">
        <f t="shared" si="13"/>
      </c>
      <c r="J107" s="245">
        <f t="shared" si="10"/>
      </c>
      <c r="K107" s="188">
        <f t="shared" si="14"/>
      </c>
      <c r="L107" s="187">
        <f t="shared" si="14"/>
      </c>
      <c r="M107" s="245">
        <f t="shared" si="15"/>
      </c>
      <c r="N107" s="245">
        <f t="shared" si="15"/>
      </c>
      <c r="O107" s="83"/>
      <c r="P107" s="253">
        <f t="shared" si="11"/>
      </c>
      <c r="Q107" s="254">
        <f t="shared" si="16"/>
      </c>
      <c r="R107"/>
      <c r="S107" s="1"/>
      <c r="T107"/>
      <c r="W107"/>
      <c r="X107"/>
      <c r="Z107"/>
    </row>
    <row r="108" spans="1:26" ht="12.75">
      <c r="A108" s="235">
        <f>IF(ISNUMBER('Data Entry'!$Q87),'Data Entry'!A87,"")</f>
      </c>
      <c r="B108" s="234">
        <f>IF(ISNUMBER('Data Entry'!$Q87),IF($B$3='Data Entry'!$B$8,'Data Entry'!L87,IF(AND($B$3=0,'Data Entry'!$B$8=1),'Data Entry'!L87/'Data Entry'!$B$9,IF(AND($B$3=1,'Data Entry'!$B$8=0),'Data Entry'!L87*'Data Entry'!$B$9,"Conversion Error"))),"")</f>
      </c>
      <c r="C108" s="234">
        <f>IF(ISNUMBER('Data Entry'!$Q87),IF(ISNUMBER('Data Entry'!$M87),'Data Entry'!$M87,IF(ISNUMBER('Data Entry'!$N87),'Data Entry'!$N87,"Error")),"")</f>
      </c>
      <c r="D108" s="236">
        <f>IF('Data Entry'!$Q87="","",IF(ISERROR($B108*COS(((360-$B$6)-$C108+90)*PI()/180)),"Error",$B108*COS(((360-$B$6)-$C108+90)*PI()/180)))</f>
      </c>
      <c r="E108" s="237">
        <f>IF('Data Entry'!$Q87="","",IF(ISERROR($B108*SIN(((360-$B$6)-$C108+90)*PI()/180)),"Error",$B108*SIN(((360-$B$6)-$C108+90)*PI()/180)))</f>
      </c>
      <c r="F108" s="234">
        <f t="shared" si="12"/>
      </c>
      <c r="G108" s="234">
        <f t="shared" si="12"/>
      </c>
      <c r="H108" s="83"/>
      <c r="I108" s="245">
        <f t="shared" si="13"/>
      </c>
      <c r="J108" s="245">
        <f t="shared" si="10"/>
      </c>
      <c r="K108" s="188">
        <f t="shared" si="14"/>
      </c>
      <c r="L108" s="187">
        <f t="shared" si="14"/>
      </c>
      <c r="M108" s="245">
        <f t="shared" si="15"/>
      </c>
      <c r="N108" s="245">
        <f t="shared" si="15"/>
      </c>
      <c r="O108" s="83"/>
      <c r="P108" s="253">
        <f t="shared" si="11"/>
      </c>
      <c r="Q108" s="254">
        <f t="shared" si="16"/>
      </c>
      <c r="R108"/>
      <c r="S108" s="1"/>
      <c r="T108"/>
      <c r="W108"/>
      <c r="X108"/>
      <c r="Z108"/>
    </row>
    <row r="109" spans="1:26" ht="12.75">
      <c r="A109" s="235">
        <f>IF(ISNUMBER('Data Entry'!$Q88),'Data Entry'!A88,"")</f>
      </c>
      <c r="B109" s="234">
        <f>IF(ISNUMBER('Data Entry'!$Q88),IF($B$3='Data Entry'!$B$8,'Data Entry'!L88,IF(AND($B$3=0,'Data Entry'!$B$8=1),'Data Entry'!L88/'Data Entry'!$B$9,IF(AND($B$3=1,'Data Entry'!$B$8=0),'Data Entry'!L88*'Data Entry'!$B$9,"Conversion Error"))),"")</f>
      </c>
      <c r="C109" s="234">
        <f>IF(ISNUMBER('Data Entry'!$Q88),IF(ISNUMBER('Data Entry'!$M88),'Data Entry'!$M88,IF(ISNUMBER('Data Entry'!$N88),'Data Entry'!$N88,"Error")),"")</f>
      </c>
      <c r="D109" s="236">
        <f>IF('Data Entry'!$Q88="","",IF(ISERROR($B109*COS(((360-$B$6)-$C109+90)*PI()/180)),"Error",$B109*COS(((360-$B$6)-$C109+90)*PI()/180)))</f>
      </c>
      <c r="E109" s="237">
        <f>IF('Data Entry'!$Q88="","",IF(ISERROR($B109*SIN(((360-$B$6)-$C109+90)*PI()/180)),"Error",$B109*SIN(((360-$B$6)-$C109+90)*PI()/180)))</f>
      </c>
      <c r="F109" s="234">
        <f t="shared" si="12"/>
      </c>
      <c r="G109" s="234">
        <f t="shared" si="12"/>
      </c>
      <c r="H109" s="83"/>
      <c r="I109" s="245">
        <f t="shared" si="13"/>
      </c>
      <c r="J109" s="245">
        <f t="shared" si="10"/>
      </c>
      <c r="K109" s="188">
        <f t="shared" si="14"/>
      </c>
      <c r="L109" s="187">
        <f t="shared" si="14"/>
      </c>
      <c r="M109" s="245">
        <f t="shared" si="15"/>
      </c>
      <c r="N109" s="245">
        <f t="shared" si="15"/>
      </c>
      <c r="O109" s="83"/>
      <c r="P109" s="253">
        <f t="shared" si="11"/>
      </c>
      <c r="Q109" s="254">
        <f t="shared" si="16"/>
      </c>
      <c r="R109"/>
      <c r="S109" s="1"/>
      <c r="T109"/>
      <c r="W109"/>
      <c r="X109"/>
      <c r="Z109"/>
    </row>
    <row r="110" spans="1:26" ht="12.75">
      <c r="A110" s="235">
        <f>IF(ISNUMBER('Data Entry'!$Q89),'Data Entry'!A89,"")</f>
      </c>
      <c r="B110" s="234">
        <f>IF(ISNUMBER('Data Entry'!$Q89),IF($B$3='Data Entry'!$B$8,'Data Entry'!L89,IF(AND($B$3=0,'Data Entry'!$B$8=1),'Data Entry'!L89/'Data Entry'!$B$9,IF(AND($B$3=1,'Data Entry'!$B$8=0),'Data Entry'!L89*'Data Entry'!$B$9,"Conversion Error"))),"")</f>
      </c>
      <c r="C110" s="234">
        <f>IF(ISNUMBER('Data Entry'!$Q89),IF(ISNUMBER('Data Entry'!$M89),'Data Entry'!$M89,IF(ISNUMBER('Data Entry'!$N89),'Data Entry'!$N89,"Error")),"")</f>
      </c>
      <c r="D110" s="236">
        <f>IF('Data Entry'!$Q89="","",IF(ISERROR($B110*COS(((360-$B$6)-$C110+90)*PI()/180)),"Error",$B110*COS(((360-$B$6)-$C110+90)*PI()/180)))</f>
      </c>
      <c r="E110" s="237">
        <f>IF('Data Entry'!$Q89="","",IF(ISERROR($B110*SIN(((360-$B$6)-$C110+90)*PI()/180)),"Error",$B110*SIN(((360-$B$6)-$C110+90)*PI()/180)))</f>
      </c>
      <c r="F110" s="234">
        <f t="shared" si="12"/>
      </c>
      <c r="G110" s="234">
        <f t="shared" si="12"/>
      </c>
      <c r="H110" s="83"/>
      <c r="I110" s="245">
        <f t="shared" si="13"/>
      </c>
      <c r="J110" s="245">
        <f t="shared" si="10"/>
      </c>
      <c r="K110" s="188">
        <f t="shared" si="14"/>
      </c>
      <c r="L110" s="187">
        <f t="shared" si="14"/>
      </c>
      <c r="M110" s="245">
        <f t="shared" si="15"/>
      </c>
      <c r="N110" s="245">
        <f t="shared" si="15"/>
      </c>
      <c r="O110" s="83"/>
      <c r="P110" s="253">
        <f t="shared" si="11"/>
      </c>
      <c r="Q110" s="254">
        <f t="shared" si="16"/>
      </c>
      <c r="R110"/>
      <c r="S110" s="1"/>
      <c r="T110"/>
      <c r="W110"/>
      <c r="X110"/>
      <c r="Z110"/>
    </row>
    <row r="111" spans="1:26" ht="12.75">
      <c r="A111" s="235">
        <f>IF(ISNUMBER('Data Entry'!$Q90),'Data Entry'!A90,"")</f>
      </c>
      <c r="B111" s="234">
        <f>IF(ISNUMBER('Data Entry'!$Q90),IF($B$3='Data Entry'!$B$8,'Data Entry'!L90,IF(AND($B$3=0,'Data Entry'!$B$8=1),'Data Entry'!L90/'Data Entry'!$B$9,IF(AND($B$3=1,'Data Entry'!$B$8=0),'Data Entry'!L90*'Data Entry'!$B$9,"Conversion Error"))),"")</f>
      </c>
      <c r="C111" s="234">
        <f>IF(ISNUMBER('Data Entry'!$Q90),IF(ISNUMBER('Data Entry'!$M90),'Data Entry'!$M90,IF(ISNUMBER('Data Entry'!$N90),'Data Entry'!$N90,"Error")),"")</f>
      </c>
      <c r="D111" s="236">
        <f>IF('Data Entry'!$Q90="","",IF(ISERROR($B111*COS(((360-$B$6)-$C111+90)*PI()/180)),"Error",$B111*COS(((360-$B$6)-$C111+90)*PI()/180)))</f>
      </c>
      <c r="E111" s="237">
        <f>IF('Data Entry'!$Q90="","",IF(ISERROR($B111*SIN(((360-$B$6)-$C111+90)*PI()/180)),"Error",$B111*SIN(((360-$B$6)-$C111+90)*PI()/180)))</f>
      </c>
      <c r="F111" s="234">
        <f t="shared" si="12"/>
      </c>
      <c r="G111" s="234">
        <f t="shared" si="12"/>
      </c>
      <c r="H111" s="83"/>
      <c r="I111" s="245">
        <f t="shared" si="13"/>
      </c>
      <c r="J111" s="245">
        <f t="shared" si="10"/>
      </c>
      <c r="K111" s="188">
        <f t="shared" si="14"/>
      </c>
      <c r="L111" s="187">
        <f t="shared" si="14"/>
      </c>
      <c r="M111" s="245">
        <f t="shared" si="15"/>
      </c>
      <c r="N111" s="245">
        <f t="shared" si="15"/>
      </c>
      <c r="O111" s="83"/>
      <c r="P111" s="253">
        <f t="shared" si="11"/>
      </c>
      <c r="Q111" s="254">
        <f t="shared" si="16"/>
      </c>
      <c r="R111"/>
      <c r="S111" s="1"/>
      <c r="T111"/>
      <c r="W111"/>
      <c r="X111"/>
      <c r="Z111"/>
    </row>
    <row r="112" spans="1:26" ht="12.75">
      <c r="A112" s="235">
        <f>IF(ISNUMBER('Data Entry'!$Q91),'Data Entry'!A91,"")</f>
      </c>
      <c r="B112" s="234">
        <f>IF(ISNUMBER('Data Entry'!$Q91),IF($B$3='Data Entry'!$B$8,'Data Entry'!L91,IF(AND($B$3=0,'Data Entry'!$B$8=1),'Data Entry'!L91/'Data Entry'!$B$9,IF(AND($B$3=1,'Data Entry'!$B$8=0),'Data Entry'!L91*'Data Entry'!$B$9,"Conversion Error"))),"")</f>
      </c>
      <c r="C112" s="234">
        <f>IF(ISNUMBER('Data Entry'!$Q91),IF(ISNUMBER('Data Entry'!$M91),'Data Entry'!$M91,IF(ISNUMBER('Data Entry'!$N91),'Data Entry'!$N91,"Error")),"")</f>
      </c>
      <c r="D112" s="236">
        <f>IF('Data Entry'!$Q91="","",IF(ISERROR($B112*COS(((360-$B$6)-$C112+90)*PI()/180)),"Error",$B112*COS(((360-$B$6)-$C112+90)*PI()/180)))</f>
      </c>
      <c r="E112" s="237">
        <f>IF('Data Entry'!$Q91="","",IF(ISERROR($B112*SIN(((360-$B$6)-$C112+90)*PI()/180)),"Error",$B112*SIN(((360-$B$6)-$C112+90)*PI()/180)))</f>
      </c>
      <c r="F112" s="234">
        <f t="shared" si="12"/>
      </c>
      <c r="G112" s="234">
        <f t="shared" si="12"/>
      </c>
      <c r="H112" s="83"/>
      <c r="I112" s="245">
        <f t="shared" si="13"/>
      </c>
      <c r="J112" s="245">
        <f t="shared" si="10"/>
      </c>
      <c r="K112" s="188">
        <f t="shared" si="14"/>
      </c>
      <c r="L112" s="187">
        <f t="shared" si="14"/>
      </c>
      <c r="M112" s="245">
        <f t="shared" si="15"/>
      </c>
      <c r="N112" s="245">
        <f t="shared" si="15"/>
      </c>
      <c r="O112" s="83"/>
      <c r="P112" s="253">
        <f t="shared" si="11"/>
      </c>
      <c r="Q112" s="254">
        <f t="shared" si="16"/>
      </c>
      <c r="R112"/>
      <c r="S112" s="1"/>
      <c r="T112"/>
      <c r="W112"/>
      <c r="X112"/>
      <c r="Z112"/>
    </row>
    <row r="113" spans="1:26" ht="12.75">
      <c r="A113" s="235">
        <f>IF(ISNUMBER('Data Entry'!$Q92),'Data Entry'!A92,"")</f>
      </c>
      <c r="B113" s="234">
        <f>IF(ISNUMBER('Data Entry'!$Q92),IF($B$3='Data Entry'!$B$8,'Data Entry'!L92,IF(AND($B$3=0,'Data Entry'!$B$8=1),'Data Entry'!L92/'Data Entry'!$B$9,IF(AND($B$3=1,'Data Entry'!$B$8=0),'Data Entry'!L92*'Data Entry'!$B$9,"Conversion Error"))),"")</f>
      </c>
      <c r="C113" s="234">
        <f>IF(ISNUMBER('Data Entry'!$Q92),IF(ISNUMBER('Data Entry'!$M92),'Data Entry'!$M92,IF(ISNUMBER('Data Entry'!$N92),'Data Entry'!$N92,"Error")),"")</f>
      </c>
      <c r="D113" s="236">
        <f>IF('Data Entry'!$Q92="","",IF(ISERROR($B113*COS(((360-$B$6)-$C113+90)*PI()/180)),"Error",$B113*COS(((360-$B$6)-$C113+90)*PI()/180)))</f>
      </c>
      <c r="E113" s="237">
        <f>IF('Data Entry'!$Q92="","",IF(ISERROR($B113*SIN(((360-$B$6)-$C113+90)*PI()/180)),"Error",$B113*SIN(((360-$B$6)-$C113+90)*PI()/180)))</f>
      </c>
      <c r="F113" s="234">
        <f t="shared" si="12"/>
      </c>
      <c r="G113" s="234">
        <f t="shared" si="12"/>
      </c>
      <c r="H113" s="83"/>
      <c r="I113" s="245">
        <f t="shared" si="13"/>
      </c>
      <c r="J113" s="245">
        <f t="shared" si="10"/>
      </c>
      <c r="K113" s="188">
        <f t="shared" si="14"/>
      </c>
      <c r="L113" s="187">
        <f t="shared" si="14"/>
      </c>
      <c r="M113" s="245">
        <f t="shared" si="15"/>
      </c>
      <c r="N113" s="245">
        <f t="shared" si="15"/>
      </c>
      <c r="O113" s="83"/>
      <c r="P113" s="253">
        <f t="shared" si="11"/>
      </c>
      <c r="Q113" s="254">
        <f t="shared" si="16"/>
      </c>
      <c r="R113"/>
      <c r="S113" s="1"/>
      <c r="T113"/>
      <c r="W113"/>
      <c r="X113"/>
      <c r="Z113"/>
    </row>
    <row r="114" spans="1:26" ht="12.75">
      <c r="A114" s="235">
        <f>IF(ISNUMBER('Data Entry'!$Q93),'Data Entry'!A93,"")</f>
      </c>
      <c r="B114" s="234">
        <f>IF(ISNUMBER('Data Entry'!$Q93),IF($B$3='Data Entry'!$B$8,'Data Entry'!L93,IF(AND($B$3=0,'Data Entry'!$B$8=1),'Data Entry'!L93/'Data Entry'!$B$9,IF(AND($B$3=1,'Data Entry'!$B$8=0),'Data Entry'!L93*'Data Entry'!$B$9,"Conversion Error"))),"")</f>
      </c>
      <c r="C114" s="234">
        <f>IF(ISNUMBER('Data Entry'!$Q93),IF(ISNUMBER('Data Entry'!$M93),'Data Entry'!$M93,IF(ISNUMBER('Data Entry'!$N93),'Data Entry'!$N93,"Error")),"")</f>
      </c>
      <c r="D114" s="236">
        <f>IF('Data Entry'!$Q93="","",IF(ISERROR($B114*COS(((360-$B$6)-$C114+90)*PI()/180)),"Error",$B114*COS(((360-$B$6)-$C114+90)*PI()/180)))</f>
      </c>
      <c r="E114" s="237">
        <f>IF('Data Entry'!$Q93="","",IF(ISERROR($B114*SIN(((360-$B$6)-$C114+90)*PI()/180)),"Error",$B114*SIN(((360-$B$6)-$C114+90)*PI()/180)))</f>
      </c>
      <c r="F114" s="234">
        <f t="shared" si="12"/>
      </c>
      <c r="G114" s="234">
        <f t="shared" si="12"/>
      </c>
      <c r="H114" s="83"/>
      <c r="I114" s="245">
        <f t="shared" si="13"/>
      </c>
      <c r="J114" s="245">
        <f t="shared" si="10"/>
      </c>
      <c r="K114" s="188">
        <f t="shared" si="14"/>
      </c>
      <c r="L114" s="187">
        <f t="shared" si="14"/>
      </c>
      <c r="M114" s="245">
        <f t="shared" si="15"/>
      </c>
      <c r="N114" s="245">
        <f t="shared" si="15"/>
      </c>
      <c r="O114" s="83"/>
      <c r="P114" s="253">
        <f t="shared" si="11"/>
      </c>
      <c r="Q114" s="254">
        <f t="shared" si="16"/>
      </c>
      <c r="R114"/>
      <c r="S114" s="1"/>
      <c r="T114"/>
      <c r="W114"/>
      <c r="X114"/>
      <c r="Z114"/>
    </row>
    <row r="115" spans="1:26" ht="12.75">
      <c r="A115" s="235">
        <f>IF(ISNUMBER('Data Entry'!$Q94),'Data Entry'!A94,"")</f>
      </c>
      <c r="B115" s="234">
        <f>IF(ISNUMBER('Data Entry'!$Q94),IF($B$3='Data Entry'!$B$8,'Data Entry'!L94,IF(AND($B$3=0,'Data Entry'!$B$8=1),'Data Entry'!L94/'Data Entry'!$B$9,IF(AND($B$3=1,'Data Entry'!$B$8=0),'Data Entry'!L94*'Data Entry'!$B$9,"Conversion Error"))),"")</f>
      </c>
      <c r="C115" s="234">
        <f>IF(ISNUMBER('Data Entry'!$Q94),IF(ISNUMBER('Data Entry'!$M94),'Data Entry'!$M94,IF(ISNUMBER('Data Entry'!$N94),'Data Entry'!$N94,"Error")),"")</f>
      </c>
      <c r="D115" s="236">
        <f>IF('Data Entry'!$Q94="","",IF(ISERROR($B115*COS(((360-$B$6)-$C115+90)*PI()/180)),"Error",$B115*COS(((360-$B$6)-$C115+90)*PI()/180)))</f>
      </c>
      <c r="E115" s="237">
        <f>IF('Data Entry'!$Q94="","",IF(ISERROR($B115*SIN(((360-$B$6)-$C115+90)*PI()/180)),"Error",$B115*SIN(((360-$B$6)-$C115+90)*PI()/180)))</f>
      </c>
      <c r="F115" s="234">
        <f t="shared" si="12"/>
      </c>
      <c r="G115" s="234">
        <f t="shared" si="12"/>
      </c>
      <c r="H115" s="83"/>
      <c r="I115" s="245">
        <f t="shared" si="13"/>
      </c>
      <c r="J115" s="245">
        <f t="shared" si="10"/>
      </c>
      <c r="K115" s="188">
        <f t="shared" si="14"/>
      </c>
      <c r="L115" s="187">
        <f t="shared" si="14"/>
      </c>
      <c r="M115" s="245">
        <f t="shared" si="15"/>
      </c>
      <c r="N115" s="245">
        <f t="shared" si="15"/>
      </c>
      <c r="O115" s="83"/>
      <c r="P115" s="253">
        <f t="shared" si="11"/>
      </c>
      <c r="Q115" s="254">
        <f t="shared" si="16"/>
      </c>
      <c r="R115"/>
      <c r="S115" s="1"/>
      <c r="T115"/>
      <c r="W115"/>
      <c r="X115"/>
      <c r="Z115"/>
    </row>
    <row r="116" spans="1:26" ht="12.75">
      <c r="A116" s="235">
        <f>IF(ISNUMBER('Data Entry'!$Q95),'Data Entry'!A95,"")</f>
      </c>
      <c r="B116" s="234">
        <f>IF(ISNUMBER('Data Entry'!$Q95),IF($B$3='Data Entry'!$B$8,'Data Entry'!L95,IF(AND($B$3=0,'Data Entry'!$B$8=1),'Data Entry'!L95/'Data Entry'!$B$9,IF(AND($B$3=1,'Data Entry'!$B$8=0),'Data Entry'!L95*'Data Entry'!$B$9,"Conversion Error"))),"")</f>
      </c>
      <c r="C116" s="234">
        <f>IF(ISNUMBER('Data Entry'!$Q95),IF(ISNUMBER('Data Entry'!$M95),'Data Entry'!$M95,IF(ISNUMBER('Data Entry'!$N95),'Data Entry'!$N95,"Error")),"")</f>
      </c>
      <c r="D116" s="236">
        <f>IF('Data Entry'!$Q95="","",IF(ISERROR($B116*COS(((360-$B$6)-$C116+90)*PI()/180)),"Error",$B116*COS(((360-$B$6)-$C116+90)*PI()/180)))</f>
      </c>
      <c r="E116" s="237">
        <f>IF('Data Entry'!$Q95="","",IF(ISERROR($B116*SIN(((360-$B$6)-$C116+90)*PI()/180)),"Error",$B116*SIN(((360-$B$6)-$C116+90)*PI()/180)))</f>
      </c>
      <c r="F116" s="234">
        <f t="shared" si="12"/>
      </c>
      <c r="G116" s="234">
        <f t="shared" si="12"/>
      </c>
      <c r="H116" s="83"/>
      <c r="I116" s="245">
        <f t="shared" si="13"/>
      </c>
      <c r="J116" s="245">
        <f t="shared" si="10"/>
      </c>
      <c r="K116" s="188">
        <f t="shared" si="14"/>
      </c>
      <c r="L116" s="187">
        <f t="shared" si="14"/>
      </c>
      <c r="M116" s="245">
        <f t="shared" si="15"/>
      </c>
      <c r="N116" s="245">
        <f t="shared" si="15"/>
      </c>
      <c r="O116" s="83"/>
      <c r="P116" s="253">
        <f t="shared" si="11"/>
      </c>
      <c r="Q116" s="254">
        <f t="shared" si="16"/>
      </c>
      <c r="R116"/>
      <c r="S116" s="1"/>
      <c r="T116"/>
      <c r="W116"/>
      <c r="X116"/>
      <c r="Z116"/>
    </row>
    <row r="117" spans="1:26" ht="12.75">
      <c r="A117" s="235">
        <f>IF(ISNUMBER('Data Entry'!$Q96),'Data Entry'!A96,"")</f>
      </c>
      <c r="B117" s="234">
        <f>IF(ISNUMBER('Data Entry'!$Q96),IF($B$3='Data Entry'!$B$8,'Data Entry'!L96,IF(AND($B$3=0,'Data Entry'!$B$8=1),'Data Entry'!L96/'Data Entry'!$B$9,IF(AND($B$3=1,'Data Entry'!$B$8=0),'Data Entry'!L96*'Data Entry'!$B$9,"Conversion Error"))),"")</f>
      </c>
      <c r="C117" s="234">
        <f>IF(ISNUMBER('Data Entry'!$Q96),IF(ISNUMBER('Data Entry'!$M96),'Data Entry'!$M96,IF(ISNUMBER('Data Entry'!$N96),'Data Entry'!$N96,"Error")),"")</f>
      </c>
      <c r="D117" s="236">
        <f>IF('Data Entry'!$Q96="","",IF(ISERROR($B117*COS(((360-$B$6)-$C117+90)*PI()/180)),"Error",$B117*COS(((360-$B$6)-$C117+90)*PI()/180)))</f>
      </c>
      <c r="E117" s="237">
        <f>IF('Data Entry'!$Q96="","",IF(ISERROR($B117*SIN(((360-$B$6)-$C117+90)*PI()/180)),"Error",$B117*SIN(((360-$B$6)-$C117+90)*PI()/180)))</f>
      </c>
      <c r="F117" s="234">
        <f t="shared" si="12"/>
      </c>
      <c r="G117" s="234">
        <f t="shared" si="12"/>
      </c>
      <c r="H117" s="83"/>
      <c r="I117" s="245">
        <f t="shared" si="13"/>
      </c>
      <c r="J117" s="245">
        <f t="shared" si="10"/>
      </c>
      <c r="K117" s="188">
        <f t="shared" si="14"/>
      </c>
      <c r="L117" s="187">
        <f t="shared" si="14"/>
      </c>
      <c r="M117" s="245">
        <f t="shared" si="15"/>
      </c>
      <c r="N117" s="245">
        <f t="shared" si="15"/>
      </c>
      <c r="O117" s="83"/>
      <c r="P117" s="253">
        <f t="shared" si="11"/>
      </c>
      <c r="Q117" s="254">
        <f t="shared" si="16"/>
      </c>
      <c r="R117"/>
      <c r="S117" s="1"/>
      <c r="T117"/>
      <c r="W117"/>
      <c r="X117"/>
      <c r="Z117"/>
    </row>
    <row r="118" spans="1:26" ht="12.75">
      <c r="A118" s="235">
        <f>IF(ISNUMBER('Data Entry'!$Q97),'Data Entry'!A97,"")</f>
      </c>
      <c r="B118" s="234">
        <f>IF(ISNUMBER('Data Entry'!$Q97),IF($B$3='Data Entry'!$B$8,'Data Entry'!L97,IF(AND($B$3=0,'Data Entry'!$B$8=1),'Data Entry'!L97/'Data Entry'!$B$9,IF(AND($B$3=1,'Data Entry'!$B$8=0),'Data Entry'!L97*'Data Entry'!$B$9,"Conversion Error"))),"")</f>
      </c>
      <c r="C118" s="234">
        <f>IF(ISNUMBER('Data Entry'!$Q97),IF(ISNUMBER('Data Entry'!$M97),'Data Entry'!$M97,IF(ISNUMBER('Data Entry'!$N97),'Data Entry'!$N97,"Error")),"")</f>
      </c>
      <c r="D118" s="236">
        <f>IF('Data Entry'!$Q97="","",IF(ISERROR($B118*COS(((360-$B$6)-$C118+90)*PI()/180)),"Error",$B118*COS(((360-$B$6)-$C118+90)*PI()/180)))</f>
      </c>
      <c r="E118" s="237">
        <f>IF('Data Entry'!$Q97="","",IF(ISERROR($B118*SIN(((360-$B$6)-$C118+90)*PI()/180)),"Error",$B118*SIN(((360-$B$6)-$C118+90)*PI()/180)))</f>
      </c>
      <c r="F118" s="234">
        <f t="shared" si="12"/>
      </c>
      <c r="G118" s="234">
        <f t="shared" si="12"/>
      </c>
      <c r="H118" s="83"/>
      <c r="I118" s="245">
        <f t="shared" si="13"/>
      </c>
      <c r="J118" s="245">
        <f t="shared" si="10"/>
      </c>
      <c r="K118" s="188">
        <f t="shared" si="14"/>
      </c>
      <c r="L118" s="187">
        <f t="shared" si="14"/>
      </c>
      <c r="M118" s="245">
        <f t="shared" si="15"/>
      </c>
      <c r="N118" s="245">
        <f t="shared" si="15"/>
      </c>
      <c r="O118" s="83"/>
      <c r="P118" s="253">
        <f t="shared" si="11"/>
      </c>
      <c r="Q118" s="254">
        <f t="shared" si="16"/>
      </c>
      <c r="R118"/>
      <c r="S118" s="1"/>
      <c r="T118"/>
      <c r="W118"/>
      <c r="X118"/>
      <c r="Z118"/>
    </row>
    <row r="119" spans="1:26" ht="12.75">
      <c r="A119" s="235">
        <f>IF(ISNUMBER('Data Entry'!$Q98),'Data Entry'!A98,"")</f>
      </c>
      <c r="B119" s="234">
        <f>IF(ISNUMBER('Data Entry'!$Q98),IF($B$3='Data Entry'!$B$8,'Data Entry'!L98,IF(AND($B$3=0,'Data Entry'!$B$8=1),'Data Entry'!L98/'Data Entry'!$B$9,IF(AND($B$3=1,'Data Entry'!$B$8=0),'Data Entry'!L98*'Data Entry'!$B$9,"Conversion Error"))),"")</f>
      </c>
      <c r="C119" s="234">
        <f>IF(ISNUMBER('Data Entry'!$Q98),IF(ISNUMBER('Data Entry'!$M98),'Data Entry'!$M98,IF(ISNUMBER('Data Entry'!$N98),'Data Entry'!$N98,"Error")),"")</f>
      </c>
      <c r="D119" s="236">
        <f>IF('Data Entry'!$Q98="","",IF(ISERROR($B119*COS(((360-$B$6)-$C119+90)*PI()/180)),"Error",$B119*COS(((360-$B$6)-$C119+90)*PI()/180)))</f>
      </c>
      <c r="E119" s="237">
        <f>IF('Data Entry'!$Q98="","",IF(ISERROR($B119*SIN(((360-$B$6)-$C119+90)*PI()/180)),"Error",$B119*SIN(((360-$B$6)-$C119+90)*PI()/180)))</f>
      </c>
      <c r="F119" s="234">
        <f t="shared" si="12"/>
      </c>
      <c r="G119" s="234">
        <f t="shared" si="12"/>
      </c>
      <c r="H119" s="83"/>
      <c r="I119" s="245">
        <f t="shared" si="13"/>
      </c>
      <c r="J119" s="245">
        <f t="shared" si="10"/>
      </c>
      <c r="K119" s="188">
        <f t="shared" si="14"/>
      </c>
      <c r="L119" s="187">
        <f t="shared" si="14"/>
      </c>
      <c r="M119" s="245">
        <f t="shared" si="15"/>
      </c>
      <c r="N119" s="245">
        <f t="shared" si="15"/>
      </c>
      <c r="O119" s="83"/>
      <c r="P119" s="253">
        <f t="shared" si="11"/>
      </c>
      <c r="Q119" s="254">
        <f t="shared" si="16"/>
      </c>
      <c r="R119"/>
      <c r="S119" s="1"/>
      <c r="T119"/>
      <c r="W119"/>
      <c r="X119"/>
      <c r="Z119"/>
    </row>
    <row r="120" spans="1:26" ht="12.75">
      <c r="A120" s="235">
        <f>IF(ISNUMBER('Data Entry'!$Q99),'Data Entry'!A99,"")</f>
      </c>
      <c r="B120" s="234">
        <f>IF(ISNUMBER('Data Entry'!$Q99),IF($B$3='Data Entry'!$B$8,'Data Entry'!L99,IF(AND($B$3=0,'Data Entry'!$B$8=1),'Data Entry'!L99/'Data Entry'!$B$9,IF(AND($B$3=1,'Data Entry'!$B$8=0),'Data Entry'!L99*'Data Entry'!$B$9,"Conversion Error"))),"")</f>
      </c>
      <c r="C120" s="234">
        <f>IF(ISNUMBER('Data Entry'!$Q99),IF(ISNUMBER('Data Entry'!$M99),'Data Entry'!$M99,IF(ISNUMBER('Data Entry'!$N99),'Data Entry'!$N99,"Error")),"")</f>
      </c>
      <c r="D120" s="236">
        <f>IF('Data Entry'!$Q99="","",IF(ISERROR($B120*COS(((360-$B$6)-$C120+90)*PI()/180)),"Error",$B120*COS(((360-$B$6)-$C120+90)*PI()/180)))</f>
      </c>
      <c r="E120" s="237">
        <f>IF('Data Entry'!$Q99="","",IF(ISERROR($B120*SIN(((360-$B$6)-$C120+90)*PI()/180)),"Error",$B120*SIN(((360-$B$6)-$C120+90)*PI()/180)))</f>
      </c>
      <c r="F120" s="234">
        <f t="shared" si="12"/>
      </c>
      <c r="G120" s="234">
        <f t="shared" si="12"/>
      </c>
      <c r="H120" s="83"/>
      <c r="I120" s="245">
        <f t="shared" si="13"/>
      </c>
      <c r="J120" s="245">
        <f t="shared" si="10"/>
      </c>
      <c r="K120" s="188">
        <f t="shared" si="14"/>
      </c>
      <c r="L120" s="187">
        <f t="shared" si="14"/>
      </c>
      <c r="M120" s="245">
        <f t="shared" si="15"/>
      </c>
      <c r="N120" s="245">
        <f t="shared" si="15"/>
      </c>
      <c r="O120" s="83"/>
      <c r="P120" s="253">
        <f t="shared" si="11"/>
      </c>
      <c r="Q120" s="254">
        <f t="shared" si="16"/>
      </c>
      <c r="R120"/>
      <c r="S120" s="1"/>
      <c r="T120"/>
      <c r="W120"/>
      <c r="X120"/>
      <c r="Z120"/>
    </row>
    <row r="121" spans="1:26" ht="12.75">
      <c r="A121" s="235">
        <f>IF(ISNUMBER('Data Entry'!$Q100),'Data Entry'!A100,"")</f>
      </c>
      <c r="B121" s="234">
        <f>IF(ISNUMBER('Data Entry'!$Q100),IF($B$3='Data Entry'!$B$8,'Data Entry'!L100,IF(AND($B$3=0,'Data Entry'!$B$8=1),'Data Entry'!L100/'Data Entry'!$B$9,IF(AND($B$3=1,'Data Entry'!$B$8=0),'Data Entry'!L100*'Data Entry'!$B$9,"Conversion Error"))),"")</f>
      </c>
      <c r="C121" s="234">
        <f>IF(ISNUMBER('Data Entry'!$Q100),IF(ISNUMBER('Data Entry'!$M100),'Data Entry'!$M100,IF(ISNUMBER('Data Entry'!$N100),'Data Entry'!$N100,"Error")),"")</f>
      </c>
      <c r="D121" s="236">
        <f>IF('Data Entry'!$Q100="","",IF(ISERROR($B121*COS(((360-$B$6)-$C121+90)*PI()/180)),"Error",$B121*COS(((360-$B$6)-$C121+90)*PI()/180)))</f>
      </c>
      <c r="E121" s="237">
        <f>IF('Data Entry'!$Q100="","",IF(ISERROR($B121*SIN(((360-$B$6)-$C121+90)*PI()/180)),"Error",$B121*SIN(((360-$B$6)-$C121+90)*PI()/180)))</f>
      </c>
      <c r="F121" s="234">
        <f t="shared" si="12"/>
      </c>
      <c r="G121" s="234">
        <f t="shared" si="12"/>
      </c>
      <c r="H121" s="83"/>
      <c r="I121" s="245">
        <f t="shared" si="13"/>
      </c>
      <c r="J121" s="245">
        <f t="shared" si="10"/>
      </c>
      <c r="K121" s="188">
        <f t="shared" si="14"/>
      </c>
      <c r="L121" s="187">
        <f t="shared" si="14"/>
      </c>
      <c r="M121" s="245">
        <f t="shared" si="15"/>
      </c>
      <c r="N121" s="245">
        <f t="shared" si="15"/>
      </c>
      <c r="O121" s="83"/>
      <c r="P121" s="253">
        <f t="shared" si="11"/>
      </c>
      <c r="Q121" s="254">
        <f t="shared" si="16"/>
      </c>
      <c r="R121"/>
      <c r="S121" s="1"/>
      <c r="T121"/>
      <c r="W121"/>
      <c r="X121"/>
      <c r="Z121"/>
    </row>
    <row r="122" spans="1:26" ht="12.75">
      <c r="A122" s="235">
        <f>IF(ISNUMBER('Data Entry'!$Q101),'Data Entry'!A101,"")</f>
      </c>
      <c r="B122" s="234">
        <f>IF(ISNUMBER('Data Entry'!$Q101),IF($B$3='Data Entry'!$B$8,'Data Entry'!L101,IF(AND($B$3=0,'Data Entry'!$B$8=1),'Data Entry'!L101/'Data Entry'!$B$9,IF(AND($B$3=1,'Data Entry'!$B$8=0),'Data Entry'!L101*'Data Entry'!$B$9,"Conversion Error"))),"")</f>
      </c>
      <c r="C122" s="234">
        <f>IF(ISNUMBER('Data Entry'!$Q101),IF(ISNUMBER('Data Entry'!$M101),'Data Entry'!$M101,IF(ISNUMBER('Data Entry'!$N101),'Data Entry'!$N101,"Error")),"")</f>
      </c>
      <c r="D122" s="236">
        <f>IF('Data Entry'!$Q101="","",IF(ISERROR($B122*COS(((360-$B$6)-$C122+90)*PI()/180)),"Error",$B122*COS(((360-$B$6)-$C122+90)*PI()/180)))</f>
      </c>
      <c r="E122" s="237">
        <f>IF('Data Entry'!$Q101="","",IF(ISERROR($B122*SIN(((360-$B$6)-$C122+90)*PI()/180)),"Error",$B122*SIN(((360-$B$6)-$C122+90)*PI()/180)))</f>
      </c>
      <c r="F122" s="234">
        <f t="shared" si="12"/>
      </c>
      <c r="G122" s="234">
        <f t="shared" si="12"/>
      </c>
      <c r="H122" s="83"/>
      <c r="I122" s="245">
        <f t="shared" si="13"/>
      </c>
      <c r="J122" s="245">
        <f t="shared" si="10"/>
      </c>
      <c r="K122" s="188">
        <f t="shared" si="14"/>
      </c>
      <c r="L122" s="187">
        <f t="shared" si="14"/>
      </c>
      <c r="M122" s="245">
        <f t="shared" si="15"/>
      </c>
      <c r="N122" s="245">
        <f t="shared" si="15"/>
      </c>
      <c r="O122" s="83"/>
      <c r="P122" s="253">
        <f t="shared" si="11"/>
      </c>
      <c r="Q122" s="254">
        <f t="shared" si="16"/>
      </c>
      <c r="R122"/>
      <c r="S122" s="1"/>
      <c r="T122"/>
      <c r="W122"/>
      <c r="X122"/>
      <c r="Z122"/>
    </row>
    <row r="123" spans="1:26" ht="12.75">
      <c r="A123" s="235">
        <f>IF(ISNUMBER('Data Entry'!$Q102),'Data Entry'!A102,"")</f>
      </c>
      <c r="B123" s="234">
        <f>IF(ISNUMBER('Data Entry'!$Q102),IF($B$3='Data Entry'!$B$8,'Data Entry'!L102,IF(AND($B$3=0,'Data Entry'!$B$8=1),'Data Entry'!L102/'Data Entry'!$B$9,IF(AND($B$3=1,'Data Entry'!$B$8=0),'Data Entry'!L102*'Data Entry'!$B$9,"Conversion Error"))),"")</f>
      </c>
      <c r="C123" s="234">
        <f>IF(ISNUMBER('Data Entry'!$Q102),IF(ISNUMBER('Data Entry'!$M102),'Data Entry'!$M102,IF(ISNUMBER('Data Entry'!$N102),'Data Entry'!$N102,"Error")),"")</f>
      </c>
      <c r="D123" s="236">
        <f>IF('Data Entry'!$Q102="","",IF(ISERROR($B123*COS(((360-$B$6)-$C123+90)*PI()/180)),"Error",$B123*COS(((360-$B$6)-$C123+90)*PI()/180)))</f>
      </c>
      <c r="E123" s="237">
        <f>IF('Data Entry'!$Q102="","",IF(ISERROR($B123*SIN(((360-$B$6)-$C123+90)*PI()/180)),"Error",$B123*SIN(((360-$B$6)-$C123+90)*PI()/180)))</f>
      </c>
      <c r="F123" s="234">
        <f t="shared" si="12"/>
      </c>
      <c r="G123" s="234">
        <f t="shared" si="12"/>
      </c>
      <c r="H123" s="83"/>
      <c r="I123" s="245">
        <f t="shared" si="13"/>
      </c>
      <c r="J123" s="245">
        <f t="shared" si="10"/>
      </c>
      <c r="K123" s="188">
        <f t="shared" si="14"/>
      </c>
      <c r="L123" s="187">
        <f t="shared" si="14"/>
      </c>
      <c r="M123" s="245">
        <f t="shared" si="15"/>
      </c>
      <c r="N123" s="245">
        <f t="shared" si="15"/>
      </c>
      <c r="O123" s="83"/>
      <c r="P123" s="253">
        <f t="shared" si="11"/>
      </c>
      <c r="Q123" s="254">
        <f t="shared" si="16"/>
      </c>
      <c r="R123"/>
      <c r="S123" s="1"/>
      <c r="T123"/>
      <c r="W123"/>
      <c r="X123"/>
      <c r="Z123"/>
    </row>
    <row r="124" spans="1:26" ht="12.75">
      <c r="A124" s="235">
        <f>IF(ISNUMBER('Data Entry'!$Q103),'Data Entry'!A103,"")</f>
      </c>
      <c r="B124" s="234">
        <f>IF(ISNUMBER('Data Entry'!$Q103),IF($B$3='Data Entry'!$B$8,'Data Entry'!L103,IF(AND($B$3=0,'Data Entry'!$B$8=1),'Data Entry'!L103/'Data Entry'!$B$9,IF(AND($B$3=1,'Data Entry'!$B$8=0),'Data Entry'!L103*'Data Entry'!$B$9,"Conversion Error"))),"")</f>
      </c>
      <c r="C124" s="234">
        <f>IF(ISNUMBER('Data Entry'!$Q103),IF(ISNUMBER('Data Entry'!$M103),'Data Entry'!$M103,IF(ISNUMBER('Data Entry'!$N103),'Data Entry'!$N103,"Error")),"")</f>
      </c>
      <c r="D124" s="236">
        <f>IF('Data Entry'!$Q103="","",IF(ISERROR($B124*COS(((360-$B$6)-$C124+90)*PI()/180)),"Error",$B124*COS(((360-$B$6)-$C124+90)*PI()/180)))</f>
      </c>
      <c r="E124" s="237">
        <f>IF('Data Entry'!$Q103="","",IF(ISERROR($B124*SIN(((360-$B$6)-$C124+90)*PI()/180)),"Error",$B124*SIN(((360-$B$6)-$C124+90)*PI()/180)))</f>
      </c>
      <c r="F124" s="234">
        <f t="shared" si="12"/>
      </c>
      <c r="G124" s="234">
        <f t="shared" si="12"/>
      </c>
      <c r="H124" s="83"/>
      <c r="I124" s="245">
        <f t="shared" si="13"/>
      </c>
      <c r="J124" s="245">
        <f t="shared" si="10"/>
      </c>
      <c r="K124" s="188">
        <f t="shared" si="14"/>
      </c>
      <c r="L124" s="187">
        <f t="shared" si="14"/>
      </c>
      <c r="M124" s="245">
        <f t="shared" si="15"/>
      </c>
      <c r="N124" s="245">
        <f t="shared" si="15"/>
      </c>
      <c r="O124" s="83"/>
      <c r="P124" s="253">
        <f t="shared" si="11"/>
      </c>
      <c r="Q124" s="254">
        <f t="shared" si="16"/>
      </c>
      <c r="R124"/>
      <c r="S124" s="1"/>
      <c r="T124"/>
      <c r="W124"/>
      <c r="X124"/>
      <c r="Z124"/>
    </row>
    <row r="125" spans="1:26" ht="12.75">
      <c r="A125" s="235">
        <f>IF(ISNUMBER('Data Entry'!$Q104),'Data Entry'!A104,"")</f>
      </c>
      <c r="B125" s="234">
        <f>IF(ISNUMBER('Data Entry'!$Q104),IF($B$3='Data Entry'!$B$8,'Data Entry'!L104,IF(AND($B$3=0,'Data Entry'!$B$8=1),'Data Entry'!L104/'Data Entry'!$B$9,IF(AND($B$3=1,'Data Entry'!$B$8=0),'Data Entry'!L104*'Data Entry'!$B$9,"Conversion Error"))),"")</f>
      </c>
      <c r="C125" s="234">
        <f>IF(ISNUMBER('Data Entry'!$Q104),IF(ISNUMBER('Data Entry'!$M104),'Data Entry'!$M104,IF(ISNUMBER('Data Entry'!$N104),'Data Entry'!$N104,"Error")),"")</f>
      </c>
      <c r="D125" s="236">
        <f>IF('Data Entry'!$Q104="","",IF(ISERROR($B125*COS(((360-$B$6)-$C125+90)*PI()/180)),"Error",$B125*COS(((360-$B$6)-$C125+90)*PI()/180)))</f>
      </c>
      <c r="E125" s="237">
        <f>IF('Data Entry'!$Q104="","",IF(ISERROR($B125*SIN(((360-$B$6)-$C125+90)*PI()/180)),"Error",$B125*SIN(((360-$B$6)-$C125+90)*PI()/180)))</f>
      </c>
      <c r="F125" s="234">
        <f t="shared" si="12"/>
      </c>
      <c r="G125" s="234">
        <f t="shared" si="12"/>
      </c>
      <c r="H125" s="83"/>
      <c r="I125" s="245">
        <f t="shared" si="13"/>
      </c>
      <c r="J125" s="245">
        <f t="shared" si="10"/>
      </c>
      <c r="K125" s="188">
        <f t="shared" si="14"/>
      </c>
      <c r="L125" s="187">
        <f t="shared" si="14"/>
      </c>
      <c r="M125" s="245">
        <f t="shared" si="15"/>
      </c>
      <c r="N125" s="245">
        <f t="shared" si="15"/>
      </c>
      <c r="O125" s="83"/>
      <c r="P125" s="253">
        <f t="shared" si="11"/>
      </c>
      <c r="Q125" s="254">
        <f t="shared" si="16"/>
      </c>
      <c r="R125"/>
      <c r="S125" s="1"/>
      <c r="T125"/>
      <c r="W125"/>
      <c r="X125"/>
      <c r="Z125"/>
    </row>
    <row r="126" spans="1:26" ht="12.75">
      <c r="A126" s="235">
        <f>IF(ISNUMBER('Data Entry'!$Q105),'Data Entry'!A105,"")</f>
      </c>
      <c r="B126" s="234">
        <f>IF(ISNUMBER('Data Entry'!$Q105),IF($B$3='Data Entry'!$B$8,'Data Entry'!L105,IF(AND($B$3=0,'Data Entry'!$B$8=1),'Data Entry'!L105/'Data Entry'!$B$9,IF(AND($B$3=1,'Data Entry'!$B$8=0),'Data Entry'!L105*'Data Entry'!$B$9,"Conversion Error"))),"")</f>
      </c>
      <c r="C126" s="234">
        <f>IF(ISNUMBER('Data Entry'!$Q105),IF(ISNUMBER('Data Entry'!$M105),'Data Entry'!$M105,IF(ISNUMBER('Data Entry'!$N105),'Data Entry'!$N105,"Error")),"")</f>
      </c>
      <c r="D126" s="236">
        <f>IF('Data Entry'!$Q105="","",IF(ISERROR($B126*COS(((360-$B$6)-$C126+90)*PI()/180)),"Error",$B126*COS(((360-$B$6)-$C126+90)*PI()/180)))</f>
      </c>
      <c r="E126" s="237">
        <f>IF('Data Entry'!$Q105="","",IF(ISERROR($B126*SIN(((360-$B$6)-$C126+90)*PI()/180)),"Error",$B126*SIN(((360-$B$6)-$C126+90)*PI()/180)))</f>
      </c>
      <c r="F126" s="234">
        <f t="shared" si="12"/>
      </c>
      <c r="G126" s="234">
        <f t="shared" si="12"/>
      </c>
      <c r="H126" s="83"/>
      <c r="I126" s="245">
        <f t="shared" si="13"/>
      </c>
      <c r="J126" s="245">
        <f t="shared" si="10"/>
      </c>
      <c r="K126" s="188">
        <f t="shared" si="14"/>
      </c>
      <c r="L126" s="187">
        <f t="shared" si="14"/>
      </c>
      <c r="M126" s="245">
        <f t="shared" si="15"/>
      </c>
      <c r="N126" s="245">
        <f t="shared" si="15"/>
      </c>
      <c r="O126" s="83"/>
      <c r="P126" s="253">
        <f t="shared" si="11"/>
      </c>
      <c r="Q126" s="254">
        <f t="shared" si="16"/>
      </c>
      <c r="R126"/>
      <c r="S126" s="1"/>
      <c r="T126"/>
      <c r="W126"/>
      <c r="X126"/>
      <c r="Z126"/>
    </row>
    <row r="127" spans="1:26" ht="12.75">
      <c r="A127" s="235">
        <f>IF(ISNUMBER('Data Entry'!$Q106),'Data Entry'!A106,"")</f>
      </c>
      <c r="B127" s="234">
        <f>IF(ISNUMBER('Data Entry'!$Q106),IF($B$3='Data Entry'!$B$8,'Data Entry'!L106,IF(AND($B$3=0,'Data Entry'!$B$8=1),'Data Entry'!L106/'Data Entry'!$B$9,IF(AND($B$3=1,'Data Entry'!$B$8=0),'Data Entry'!L106*'Data Entry'!$B$9,"Conversion Error"))),"")</f>
      </c>
      <c r="C127" s="234">
        <f>IF(ISNUMBER('Data Entry'!$Q106),IF(ISNUMBER('Data Entry'!$M106),'Data Entry'!$M106,IF(ISNUMBER('Data Entry'!$N106),'Data Entry'!$N106,"Error")),"")</f>
      </c>
      <c r="D127" s="236">
        <f>IF('Data Entry'!$Q106="","",IF(ISERROR($B127*COS(((360-$B$6)-$C127+90)*PI()/180)),"Error",$B127*COS(((360-$B$6)-$C127+90)*PI()/180)))</f>
      </c>
      <c r="E127" s="237">
        <f>IF('Data Entry'!$Q106="","",IF(ISERROR($B127*SIN(((360-$B$6)-$C127+90)*PI()/180)),"Error",$B127*SIN(((360-$B$6)-$C127+90)*PI()/180)))</f>
      </c>
      <c r="F127" s="234">
        <f t="shared" si="12"/>
      </c>
      <c r="G127" s="234">
        <f t="shared" si="12"/>
      </c>
      <c r="H127" s="83"/>
      <c r="I127" s="245">
        <f t="shared" si="13"/>
      </c>
      <c r="J127" s="245">
        <f t="shared" si="10"/>
      </c>
      <c r="K127" s="188">
        <f t="shared" si="14"/>
      </c>
      <c r="L127" s="187">
        <f t="shared" si="14"/>
      </c>
      <c r="M127" s="245">
        <f t="shared" si="15"/>
      </c>
      <c r="N127" s="245">
        <f t="shared" si="15"/>
      </c>
      <c r="O127" s="83"/>
      <c r="P127" s="253">
        <f t="shared" si="11"/>
      </c>
      <c r="Q127" s="254">
        <f t="shared" si="16"/>
      </c>
      <c r="R127"/>
      <c r="S127" s="1"/>
      <c r="T127"/>
      <c r="W127"/>
      <c r="X127"/>
      <c r="Z127"/>
    </row>
    <row r="128" spans="1:26" ht="12.75">
      <c r="A128" s="235">
        <f>IF(ISNUMBER('Data Entry'!$Q107),'Data Entry'!A107,"")</f>
      </c>
      <c r="B128" s="234">
        <f>IF(ISNUMBER('Data Entry'!$Q107),IF($B$3='Data Entry'!$B$8,'Data Entry'!L107,IF(AND($B$3=0,'Data Entry'!$B$8=1),'Data Entry'!L107/'Data Entry'!$B$9,IF(AND($B$3=1,'Data Entry'!$B$8=0),'Data Entry'!L107*'Data Entry'!$B$9,"Conversion Error"))),"")</f>
      </c>
      <c r="C128" s="234">
        <f>IF(ISNUMBER('Data Entry'!$Q107),IF(ISNUMBER('Data Entry'!$M107),'Data Entry'!$M107,IF(ISNUMBER('Data Entry'!$N107),'Data Entry'!$N107,"Error")),"")</f>
      </c>
      <c r="D128" s="236">
        <f>IF('Data Entry'!$Q107="","",IF(ISERROR($B128*COS(((360-$B$6)-$C128+90)*PI()/180)),"Error",$B128*COS(((360-$B$6)-$C128+90)*PI()/180)))</f>
      </c>
      <c r="E128" s="237">
        <f>IF('Data Entry'!$Q107="","",IF(ISERROR($B128*SIN(((360-$B$6)-$C128+90)*PI()/180)),"Error",$B128*SIN(((360-$B$6)-$C128+90)*PI()/180)))</f>
      </c>
      <c r="F128" s="234">
        <f t="shared" si="12"/>
      </c>
      <c r="G128" s="234">
        <f t="shared" si="12"/>
      </c>
      <c r="H128" s="83"/>
      <c r="I128" s="245">
        <f t="shared" si="13"/>
      </c>
      <c r="J128" s="245">
        <f t="shared" si="10"/>
      </c>
      <c r="K128" s="188">
        <f t="shared" si="14"/>
      </c>
      <c r="L128" s="187">
        <f t="shared" si="14"/>
      </c>
      <c r="M128" s="245">
        <f t="shared" si="15"/>
      </c>
      <c r="N128" s="245">
        <f t="shared" si="15"/>
      </c>
      <c r="O128" s="83"/>
      <c r="P128" s="253">
        <f t="shared" si="11"/>
      </c>
      <c r="Q128" s="254">
        <f t="shared" si="16"/>
      </c>
      <c r="R128"/>
      <c r="S128" s="1"/>
      <c r="T128"/>
      <c r="W128"/>
      <c r="X128"/>
      <c r="Z128"/>
    </row>
    <row r="129" spans="1:26" ht="12.75">
      <c r="A129" s="235">
        <f>IF(ISNUMBER('Data Entry'!$Q108),'Data Entry'!A108,"")</f>
      </c>
      <c r="B129" s="234">
        <f>IF(ISNUMBER('Data Entry'!$Q108),IF($B$3='Data Entry'!$B$8,'Data Entry'!L108,IF(AND($B$3=0,'Data Entry'!$B$8=1),'Data Entry'!L108/'Data Entry'!$B$9,IF(AND($B$3=1,'Data Entry'!$B$8=0),'Data Entry'!L108*'Data Entry'!$B$9,"Conversion Error"))),"")</f>
      </c>
      <c r="C129" s="234">
        <f>IF(ISNUMBER('Data Entry'!$Q108),IF(ISNUMBER('Data Entry'!$M108),'Data Entry'!$M108,IF(ISNUMBER('Data Entry'!$N108),'Data Entry'!$N108,"Error")),"")</f>
      </c>
      <c r="D129" s="236">
        <f>IF('Data Entry'!$Q108="","",IF(ISERROR($B129*COS(((360-$B$6)-$C129+90)*PI()/180)),"Error",$B129*COS(((360-$B$6)-$C129+90)*PI()/180)))</f>
      </c>
      <c r="E129" s="237">
        <f>IF('Data Entry'!$Q108="","",IF(ISERROR($B129*SIN(((360-$B$6)-$C129+90)*PI()/180)),"Error",$B129*SIN(((360-$B$6)-$C129+90)*PI()/180)))</f>
      </c>
      <c r="F129" s="234">
        <f t="shared" si="12"/>
      </c>
      <c r="G129" s="234">
        <f t="shared" si="12"/>
      </c>
      <c r="H129" s="83"/>
      <c r="I129" s="245">
        <f t="shared" si="13"/>
      </c>
      <c r="J129" s="245">
        <f t="shared" si="10"/>
      </c>
      <c r="K129" s="188">
        <f t="shared" si="14"/>
      </c>
      <c r="L129" s="187">
        <f t="shared" si="14"/>
      </c>
      <c r="M129" s="245">
        <f t="shared" si="15"/>
      </c>
      <c r="N129" s="245">
        <f t="shared" si="15"/>
      </c>
      <c r="O129" s="83"/>
      <c r="P129" s="253">
        <f t="shared" si="11"/>
      </c>
      <c r="Q129" s="254">
        <f t="shared" si="16"/>
      </c>
      <c r="R129"/>
      <c r="S129" s="1"/>
      <c r="T129"/>
      <c r="W129"/>
      <c r="X129"/>
      <c r="Z129"/>
    </row>
    <row r="130" spans="1:26" ht="12.75">
      <c r="A130" s="235">
        <f>IF(ISNUMBER('Data Entry'!$Q109),'Data Entry'!A109,"")</f>
      </c>
      <c r="B130" s="234">
        <f>IF(ISNUMBER('Data Entry'!$Q109),IF($B$3='Data Entry'!$B$8,'Data Entry'!L109,IF(AND($B$3=0,'Data Entry'!$B$8=1),'Data Entry'!L109/'Data Entry'!$B$9,IF(AND($B$3=1,'Data Entry'!$B$8=0),'Data Entry'!L109*'Data Entry'!$B$9,"Conversion Error"))),"")</f>
      </c>
      <c r="C130" s="234">
        <f>IF(ISNUMBER('Data Entry'!$Q109),IF(ISNUMBER('Data Entry'!$M109),'Data Entry'!$M109,IF(ISNUMBER('Data Entry'!$N109),'Data Entry'!$N109,"Error")),"")</f>
      </c>
      <c r="D130" s="236">
        <f>IF('Data Entry'!$Q109="","",IF(ISERROR($B130*COS(((360-$B$6)-$C130+90)*PI()/180)),"Error",$B130*COS(((360-$B$6)-$C130+90)*PI()/180)))</f>
      </c>
      <c r="E130" s="237">
        <f>IF('Data Entry'!$Q109="","",IF(ISERROR($B130*SIN(((360-$B$6)-$C130+90)*PI()/180)),"Error",$B130*SIN(((360-$B$6)-$C130+90)*PI()/180)))</f>
      </c>
      <c r="F130" s="234">
        <f t="shared" si="12"/>
      </c>
      <c r="G130" s="234">
        <f t="shared" si="12"/>
      </c>
      <c r="H130" s="83"/>
      <c r="I130" s="245">
        <f t="shared" si="13"/>
      </c>
      <c r="J130" s="245">
        <f t="shared" si="10"/>
      </c>
      <c r="K130" s="188">
        <f t="shared" si="14"/>
      </c>
      <c r="L130" s="187">
        <f t="shared" si="14"/>
      </c>
      <c r="M130" s="245">
        <f t="shared" si="15"/>
      </c>
      <c r="N130" s="245">
        <f t="shared" si="15"/>
      </c>
      <c r="O130" s="83"/>
      <c r="P130" s="253">
        <f t="shared" si="11"/>
      </c>
      <c r="Q130" s="254">
        <f t="shared" si="16"/>
      </c>
      <c r="R130"/>
      <c r="S130" s="1"/>
      <c r="T130"/>
      <c r="W130"/>
      <c r="X130"/>
      <c r="Z130"/>
    </row>
    <row r="131" spans="1:26" ht="12.75">
      <c r="A131" s="235">
        <f>IF(ISNUMBER('Data Entry'!$Q110),'Data Entry'!A110,"")</f>
      </c>
      <c r="B131" s="234">
        <f>IF(ISNUMBER('Data Entry'!$Q110),IF($B$3='Data Entry'!$B$8,'Data Entry'!L110,IF(AND($B$3=0,'Data Entry'!$B$8=1),'Data Entry'!L110/'Data Entry'!$B$9,IF(AND($B$3=1,'Data Entry'!$B$8=0),'Data Entry'!L110*'Data Entry'!$B$9,"Conversion Error"))),"")</f>
      </c>
      <c r="C131" s="234">
        <f>IF(ISNUMBER('Data Entry'!$Q110),IF(ISNUMBER('Data Entry'!$M110),'Data Entry'!$M110,IF(ISNUMBER('Data Entry'!$N110),'Data Entry'!$N110,"Error")),"")</f>
      </c>
      <c r="D131" s="236">
        <f>IF('Data Entry'!$Q110="","",IF(ISERROR($B131*COS(((360-$B$6)-$C131+90)*PI()/180)),"Error",$B131*COS(((360-$B$6)-$C131+90)*PI()/180)))</f>
      </c>
      <c r="E131" s="237">
        <f>IF('Data Entry'!$Q110="","",IF(ISERROR($B131*SIN(((360-$B$6)-$C131+90)*PI()/180)),"Error",$B131*SIN(((360-$B$6)-$C131+90)*PI()/180)))</f>
      </c>
      <c r="F131" s="234">
        <f t="shared" si="12"/>
      </c>
      <c r="G131" s="234">
        <f t="shared" si="12"/>
      </c>
      <c r="H131" s="83"/>
      <c r="I131" s="245">
        <f t="shared" si="13"/>
      </c>
      <c r="J131" s="245">
        <f t="shared" si="10"/>
      </c>
      <c r="K131" s="188">
        <f t="shared" si="14"/>
      </c>
      <c r="L131" s="187">
        <f t="shared" si="14"/>
      </c>
      <c r="M131" s="245">
        <f t="shared" si="15"/>
      </c>
      <c r="N131" s="245">
        <f t="shared" si="15"/>
      </c>
      <c r="O131" s="83"/>
      <c r="P131" s="253">
        <f t="shared" si="11"/>
      </c>
      <c r="Q131" s="254">
        <f t="shared" si="16"/>
      </c>
      <c r="R131"/>
      <c r="S131" s="1"/>
      <c r="T131"/>
      <c r="W131"/>
      <c r="X131"/>
      <c r="Z131"/>
    </row>
    <row r="132" spans="1:26" ht="12.75">
      <c r="A132" s="235">
        <f>IF(ISNUMBER('Data Entry'!$Q111),'Data Entry'!A111,"")</f>
      </c>
      <c r="B132" s="234">
        <f>IF(ISNUMBER('Data Entry'!$Q111),IF($B$3='Data Entry'!$B$8,'Data Entry'!L111,IF(AND($B$3=0,'Data Entry'!$B$8=1),'Data Entry'!L111/'Data Entry'!$B$9,IF(AND($B$3=1,'Data Entry'!$B$8=0),'Data Entry'!L111*'Data Entry'!$B$9,"Conversion Error"))),"")</f>
      </c>
      <c r="C132" s="234">
        <f>IF(ISNUMBER('Data Entry'!$Q111),IF(ISNUMBER('Data Entry'!$M111),'Data Entry'!$M111,IF(ISNUMBER('Data Entry'!$N111),'Data Entry'!$N111,"Error")),"")</f>
      </c>
      <c r="D132" s="236">
        <f>IF('Data Entry'!$Q111="","",IF(ISERROR($B132*COS(((360-$B$6)-$C132+90)*PI()/180)),"Error",$B132*COS(((360-$B$6)-$C132+90)*PI()/180)))</f>
      </c>
      <c r="E132" s="237">
        <f>IF('Data Entry'!$Q111="","",IF(ISERROR($B132*SIN(((360-$B$6)-$C132+90)*PI()/180)),"Error",$B132*SIN(((360-$B$6)-$C132+90)*PI()/180)))</f>
      </c>
      <c r="F132" s="234">
        <f t="shared" si="12"/>
      </c>
      <c r="G132" s="234">
        <f t="shared" si="12"/>
      </c>
      <c r="H132" s="83"/>
      <c r="I132" s="245">
        <f t="shared" si="13"/>
      </c>
      <c r="J132" s="245">
        <f t="shared" si="10"/>
      </c>
      <c r="K132" s="188">
        <f t="shared" si="14"/>
      </c>
      <c r="L132" s="187">
        <f t="shared" si="14"/>
      </c>
      <c r="M132" s="245">
        <f t="shared" si="15"/>
      </c>
      <c r="N132" s="245">
        <f t="shared" si="15"/>
      </c>
      <c r="O132" s="83"/>
      <c r="P132" s="253">
        <f t="shared" si="11"/>
      </c>
      <c r="Q132" s="254">
        <f t="shared" si="16"/>
      </c>
      <c r="R132"/>
      <c r="S132" s="1"/>
      <c r="T132"/>
      <c r="W132"/>
      <c r="X132"/>
      <c r="Z132"/>
    </row>
    <row r="133" spans="1:26" ht="12.75">
      <c r="A133" s="235">
        <f>IF(ISNUMBER('Data Entry'!$Q112),'Data Entry'!A112,"")</f>
      </c>
      <c r="B133" s="234">
        <f>IF(ISNUMBER('Data Entry'!$Q112),IF($B$3='Data Entry'!$B$8,'Data Entry'!L112,IF(AND($B$3=0,'Data Entry'!$B$8=1),'Data Entry'!L112/'Data Entry'!$B$9,IF(AND($B$3=1,'Data Entry'!$B$8=0),'Data Entry'!L112*'Data Entry'!$B$9,"Conversion Error"))),"")</f>
      </c>
      <c r="C133" s="234">
        <f>IF(ISNUMBER('Data Entry'!$Q112),IF(ISNUMBER('Data Entry'!$M112),'Data Entry'!$M112,IF(ISNUMBER('Data Entry'!$N112),'Data Entry'!$N112,"Error")),"")</f>
      </c>
      <c r="D133" s="236">
        <f>IF('Data Entry'!$Q112="","",IF(ISERROR($B133*COS(((360-$B$6)-$C133+90)*PI()/180)),"Error",$B133*COS(((360-$B$6)-$C133+90)*PI()/180)))</f>
      </c>
      <c r="E133" s="237">
        <f>IF('Data Entry'!$Q112="","",IF(ISERROR($B133*SIN(((360-$B$6)-$C133+90)*PI()/180)),"Error",$B133*SIN(((360-$B$6)-$C133+90)*PI()/180)))</f>
      </c>
      <c r="F133" s="234">
        <f t="shared" si="12"/>
      </c>
      <c r="G133" s="234">
        <f t="shared" si="12"/>
      </c>
      <c r="H133" s="83"/>
      <c r="I133" s="245">
        <f t="shared" si="13"/>
      </c>
      <c r="J133" s="245">
        <f t="shared" si="10"/>
      </c>
      <c r="K133" s="188">
        <f t="shared" si="14"/>
      </c>
      <c r="L133" s="187">
        <f t="shared" si="14"/>
      </c>
      <c r="M133" s="245">
        <f t="shared" si="15"/>
      </c>
      <c r="N133" s="245">
        <f t="shared" si="15"/>
      </c>
      <c r="O133" s="83"/>
      <c r="P133" s="253">
        <f t="shared" si="11"/>
      </c>
      <c r="Q133" s="254">
        <f t="shared" si="16"/>
      </c>
      <c r="R133"/>
      <c r="S133" s="1"/>
      <c r="T133"/>
      <c r="W133"/>
      <c r="X133"/>
      <c r="Z133"/>
    </row>
    <row r="134" spans="1:26" ht="12.75">
      <c r="A134" s="235">
        <f>IF(ISNUMBER('Data Entry'!$Q113),'Data Entry'!A113,"")</f>
      </c>
      <c r="B134" s="234">
        <f>IF(ISNUMBER('Data Entry'!$Q113),IF($B$3='Data Entry'!$B$8,'Data Entry'!L113,IF(AND($B$3=0,'Data Entry'!$B$8=1),'Data Entry'!L113/'Data Entry'!$B$9,IF(AND($B$3=1,'Data Entry'!$B$8=0),'Data Entry'!L113*'Data Entry'!$B$9,"Conversion Error"))),"")</f>
      </c>
      <c r="C134" s="234">
        <f>IF(ISNUMBER('Data Entry'!$Q113),IF(ISNUMBER('Data Entry'!$M113),'Data Entry'!$M113,IF(ISNUMBER('Data Entry'!$N113),'Data Entry'!$N113,"Error")),"")</f>
      </c>
      <c r="D134" s="236">
        <f>IF('Data Entry'!$Q113="","",IF(ISERROR($B134*COS(((360-$B$6)-$C134+90)*PI()/180)),"Error",$B134*COS(((360-$B$6)-$C134+90)*PI()/180)))</f>
      </c>
      <c r="E134" s="237">
        <f>IF('Data Entry'!$Q113="","",IF(ISERROR($B134*SIN(((360-$B$6)-$C134+90)*PI()/180)),"Error",$B134*SIN(((360-$B$6)-$C134+90)*PI()/180)))</f>
      </c>
      <c r="F134" s="234">
        <f t="shared" si="12"/>
      </c>
      <c r="G134" s="234">
        <f t="shared" si="12"/>
      </c>
      <c r="H134" s="83"/>
      <c r="I134" s="245">
        <f t="shared" si="13"/>
      </c>
      <c r="J134" s="245">
        <f>IF(K134="","",IF(AND($K134&gt;0,$L134&gt;0),(360-ATAN($L134/$K134)*180/PI()+360-$B$6+90)-(360*(INT((360-ATAN($L134/$K134)*180/PI()+360-$B$6+90)/360))),(IF(AND($K134&gt;0,$L134&lt;0),(0-ATAN($L134/$K134)*180/PI()+360-$B$6+90)-(360*(INT((0-ATAN($L134/$K134)*180/PI()+360-$B$6+90)/360))),(IF(AND($K134&lt;0,$L134&lt;0),(180-ATAN($L134/$K134)*180/PI()+360-$B$6+90)-(360*(INT((180-ATAN($L134/$K134)*180/PI()+360-$B$6+90)/360))),(180-ATAN($L134/$K134)*180/PI()+360-$B$6+90)-(360*(INT((180-ATAN($L134/$K134)*180/PI()+360-$B$6+90)/360)))))))))</f>
      </c>
      <c r="K134" s="188">
        <f t="shared" si="14"/>
      </c>
      <c r="L134" s="187">
        <f t="shared" si="14"/>
      </c>
      <c r="M134" s="245">
        <f t="shared" si="15"/>
      </c>
      <c r="N134" s="245">
        <f t="shared" si="15"/>
      </c>
      <c r="O134" s="83"/>
      <c r="P134" s="253">
        <f t="shared" si="11"/>
      </c>
      <c r="Q134" s="254">
        <f t="shared" si="16"/>
      </c>
      <c r="R134"/>
      <c r="S134" s="1"/>
      <c r="T134"/>
      <c r="W134"/>
      <c r="X134"/>
      <c r="Z134"/>
    </row>
    <row r="135" spans="1:26" ht="12.75">
      <c r="A135" s="235">
        <f>IF(ISNUMBER('Data Entry'!$Q114),'Data Entry'!A114,"")</f>
      </c>
      <c r="B135" s="234">
        <f>IF(ISNUMBER('Data Entry'!$Q114),IF($B$3='Data Entry'!$B$8,'Data Entry'!L114,IF(AND($B$3=0,'Data Entry'!$B$8=1),'Data Entry'!L114/'Data Entry'!$B$9,IF(AND($B$3=1,'Data Entry'!$B$8=0),'Data Entry'!L114*'Data Entry'!$B$9,"Conversion Error"))),"")</f>
      </c>
      <c r="C135" s="234">
        <f>IF(ISNUMBER('Data Entry'!$Q114),IF(ISNUMBER('Data Entry'!$M114),'Data Entry'!$M114,IF(ISNUMBER('Data Entry'!$N114),'Data Entry'!$N114,"Error")),"")</f>
      </c>
      <c r="D135" s="236">
        <f>IF('Data Entry'!$Q114="","",IF(ISERROR($B135*COS(((360-$B$6)-$C135+90)*PI()/180)),"Error",$B135*COS(((360-$B$6)-$C135+90)*PI()/180)))</f>
      </c>
      <c r="E135" s="237">
        <f>IF('Data Entry'!$Q114="","",IF(ISERROR($B135*SIN(((360-$B$6)-$C135+90)*PI()/180)),"Error",$B135*SIN(((360-$B$6)-$C135+90)*PI()/180)))</f>
      </c>
      <c r="F135" s="234">
        <f t="shared" si="12"/>
      </c>
      <c r="G135" s="234">
        <f t="shared" si="12"/>
      </c>
      <c r="H135" s="83"/>
      <c r="I135" s="245">
        <f t="shared" si="13"/>
      </c>
      <c r="J135" s="245">
        <f>IF(K135="","",IF(AND($K135&gt;0,$L135&gt;0),(360-ATAN($L135/$K135)*180/PI()+360-$B$6+90)-(360*(INT((360-ATAN($L135/$K135)*180/PI()+360-$B$6+90)/360))),(IF(AND($K135&gt;0,$L135&lt;0),(0-ATAN($L135/$K135)*180/PI()+360-$B$6+90)-(360*(INT((0-ATAN($L135/$K135)*180/PI()+360-$B$6+90)/360))),(IF(AND($K135&lt;0,$L135&lt;0),(180-ATAN($L135/$K135)*180/PI()+360-$B$6+90)-(360*(INT((180-ATAN($L135/$K135)*180/PI()+360-$B$6+90)/360))),(180-ATAN($L135/$K135)*180/PI()+360-$B$6+90)-(360*(INT((180-ATAN($L135/$K135)*180/PI()+360-$B$6+90)/360)))))))))</f>
      </c>
      <c r="K135" s="188">
        <f t="shared" si="14"/>
      </c>
      <c r="L135" s="187">
        <f t="shared" si="14"/>
      </c>
      <c r="M135" s="245">
        <f t="shared" si="15"/>
      </c>
      <c r="N135" s="245">
        <f t="shared" si="15"/>
      </c>
      <c r="O135" s="83"/>
      <c r="P135" s="253">
        <f t="shared" si="11"/>
      </c>
      <c r="Q135" s="254">
        <f t="shared" si="16"/>
      </c>
      <c r="R135"/>
      <c r="S135" s="1"/>
      <c r="T135"/>
      <c r="W135"/>
      <c r="X135"/>
      <c r="Z135"/>
    </row>
    <row r="136" spans="1:26" ht="12.75">
      <c r="A136" s="235">
        <f>IF(ISNUMBER('Data Entry'!$Q115),'Data Entry'!A115,"")</f>
      </c>
      <c r="B136" s="234">
        <f>IF(ISNUMBER('Data Entry'!$Q115),IF($B$3='Data Entry'!$B$8,'Data Entry'!L115,IF(AND($B$3=0,'Data Entry'!$B$8=1),'Data Entry'!L115/'Data Entry'!$B$9,IF(AND($B$3=1,'Data Entry'!$B$8=0),'Data Entry'!L115*'Data Entry'!$B$9,"Conversion Error"))),"")</f>
      </c>
      <c r="C136" s="234">
        <f>IF(ISNUMBER('Data Entry'!$Q115),IF(ISNUMBER('Data Entry'!$M115),'Data Entry'!$M115,IF(ISNUMBER('Data Entry'!$N115),'Data Entry'!$N115,"Error")),"")</f>
      </c>
      <c r="D136" s="236">
        <f>IF('Data Entry'!$Q115="","",IF(ISERROR($B136*COS(((360-$B$6)-$C136+90)*PI()/180)),"Error",$B136*COS(((360-$B$6)-$C136+90)*PI()/180)))</f>
      </c>
      <c r="E136" s="237">
        <f>IF('Data Entry'!$Q115="","",IF(ISERROR($B136*SIN(((360-$B$6)-$C136+90)*PI()/180)),"Error",$B136*SIN(((360-$B$6)-$C136+90)*PI()/180)))</f>
      </c>
      <c r="F136" s="234">
        <f t="shared" si="12"/>
      </c>
      <c r="G136" s="234">
        <f t="shared" si="12"/>
      </c>
      <c r="H136" s="83"/>
      <c r="I136" s="245">
        <f t="shared" si="13"/>
      </c>
      <c r="J136" s="245">
        <f>IF(K136="","",IF(AND($K136&gt;0,$L136&gt;0),(360-ATAN($L136/$K136)*180/PI()+360-$B$6+90)-(360*(INT((360-ATAN($L136/$K136)*180/PI()+360-$B$6+90)/360))),(IF(AND($K136&gt;0,$L136&lt;0),(0-ATAN($L136/$K136)*180/PI()+360-$B$6+90)-(360*(INT((0-ATAN($L136/$K136)*180/PI()+360-$B$6+90)/360))),(IF(AND($K136&lt;0,$L136&lt;0),(180-ATAN($L136/$K136)*180/PI()+360-$B$6+90)-(360*(INT((180-ATAN($L136/$K136)*180/PI()+360-$B$6+90)/360))),(180-ATAN($L136/$K136)*180/PI()+360-$B$6+90)-(360*(INT((180-ATAN($L136/$K136)*180/PI()+360-$B$6+90)/360)))))))))</f>
      </c>
      <c r="K136" s="188">
        <f t="shared" si="14"/>
      </c>
      <c r="L136" s="187">
        <f t="shared" si="14"/>
      </c>
      <c r="M136" s="245">
        <f t="shared" si="15"/>
      </c>
      <c r="N136" s="245">
        <f t="shared" si="15"/>
      </c>
      <c r="O136" s="83"/>
      <c r="P136" s="253">
        <f t="shared" si="11"/>
      </c>
      <c r="Q136" s="254">
        <f t="shared" si="16"/>
      </c>
      <c r="R136"/>
      <c r="S136" s="1"/>
      <c r="T136"/>
      <c r="W136"/>
      <c r="X136"/>
      <c r="Z136"/>
    </row>
    <row r="137" spans="1:26" ht="13.5" thickBot="1">
      <c r="A137" s="235">
        <f>IF(ISNUMBER('Data Entry'!$Q116),'Data Entry'!A116,"")</f>
      </c>
      <c r="B137" s="234">
        <f>IF(ISNUMBER('Data Entry'!$Q116),IF($B$3='Data Entry'!$B$8,'Data Entry'!L116,IF(AND($B$3=0,'Data Entry'!$B$8=1),'Data Entry'!L116/'Data Entry'!$B$9,IF(AND($B$3=1,'Data Entry'!$B$8=0),'Data Entry'!L116*'Data Entry'!$B$9,"Conversion Error"))),"")</f>
      </c>
      <c r="C137" s="234">
        <f>IF(ISNUMBER('Data Entry'!$Q116),IF(ISNUMBER('Data Entry'!$M116),'Data Entry'!$M116,IF(ISNUMBER('Data Entry'!$N116),'Data Entry'!$N116,"Error")),"")</f>
      </c>
      <c r="D137" s="236">
        <f>IF('Data Entry'!$Q116="","",IF(ISERROR($B137*COS(((360-$B$6)-$C137+90)*PI()/180)),"Error",$B137*COS(((360-$B$6)-$C137+90)*PI()/180)))</f>
      </c>
      <c r="E137" s="237">
        <f>IF('Data Entry'!$Q116="","",IF(ISERROR($B137*SIN(((360-$B$6)-$C137+90)*PI()/180)),"Error",$B137*SIN(((360-$B$6)-$C137+90)*PI()/180)))</f>
      </c>
      <c r="F137" s="234">
        <f t="shared" si="12"/>
      </c>
      <c r="G137" s="234">
        <f t="shared" si="12"/>
      </c>
      <c r="H137" s="83"/>
      <c r="I137" s="245">
        <f t="shared" si="13"/>
      </c>
      <c r="J137" s="245">
        <f>IF(K137="","",IF(AND($K137&gt;0,$L137&gt;0),(360-ATAN($L137/$K137)*180/PI()+360-$B$6+90)-(360*(INT((360-ATAN($L137/$K137)*180/PI()+360-$B$6+90)/360))),(IF(AND($K137&gt;0,$L137&lt;0),(0-ATAN($L137/$K137)*180/PI()+360-$B$6+90)-(360*(INT((0-ATAN($L137/$K137)*180/PI()+360-$B$6+90)/360))),(IF(AND($K137&lt;0,$L137&lt;0),(180-ATAN($L137/$K137)*180/PI()+360-$B$6+90)-(360*(INT((180-ATAN($L137/$K137)*180/PI()+360-$B$6+90)/360))),(180-ATAN($L137/$K137)*180/PI()+360-$B$6+90)-(360*(INT((180-ATAN($L137/$K137)*180/PI()+360-$B$6+90)/360)))))))))</f>
      </c>
      <c r="K137" s="188">
        <f t="shared" si="14"/>
      </c>
      <c r="L137" s="191">
        <f t="shared" si="14"/>
      </c>
      <c r="M137" s="245">
        <f t="shared" si="15"/>
      </c>
      <c r="N137" s="245">
        <f t="shared" si="15"/>
      </c>
      <c r="O137" s="83"/>
      <c r="P137" s="255">
        <f t="shared" si="11"/>
      </c>
      <c r="Q137" s="256">
        <f t="shared" si="16"/>
      </c>
      <c r="R137"/>
      <c r="S137" s="1"/>
      <c r="T137"/>
      <c r="W137"/>
      <c r="X137"/>
      <c r="Z137"/>
    </row>
    <row r="138" spans="1:22" ht="13.5" thickTop="1">
      <c r="A138" s="99"/>
      <c r="B138" s="99"/>
      <c r="C138" s="99"/>
      <c r="D138" s="99"/>
      <c r="E138" s="100"/>
      <c r="F138" s="99"/>
      <c r="G138" s="99"/>
      <c r="H138" s="24"/>
      <c r="I138" s="101"/>
      <c r="J138" s="102"/>
      <c r="K138" s="103"/>
      <c r="L138" s="102"/>
      <c r="M138" s="102"/>
      <c r="N138" s="102"/>
      <c r="U138" s="4"/>
      <c r="V138" s="4"/>
    </row>
    <row r="139" spans="3:22" ht="12.75">
      <c r="C139" s="40"/>
      <c r="U139" s="4"/>
      <c r="V139" s="4"/>
    </row>
    <row r="140" spans="3:22" ht="12.75">
      <c r="C140" s="40"/>
      <c r="U140" s="4"/>
      <c r="V140" s="4"/>
    </row>
    <row r="141" spans="3:22" ht="12.75">
      <c r="C141" s="40"/>
      <c r="U141" s="4"/>
      <c r="V141" s="4"/>
    </row>
    <row r="142" spans="3:22" ht="12.75">
      <c r="C142" s="40"/>
      <c r="U142" s="4"/>
      <c r="V142" s="4"/>
    </row>
    <row r="143" spans="3:22" ht="12.75">
      <c r="C143" s="40"/>
      <c r="U143" s="4"/>
      <c r="V143" s="4"/>
    </row>
    <row r="144" spans="3:22" ht="12.75">
      <c r="C144" s="40"/>
      <c r="U144" s="4"/>
      <c r="V144" s="4"/>
    </row>
    <row r="145" spans="3:22" ht="12.75">
      <c r="C145" s="40"/>
      <c r="U145" s="4"/>
      <c r="V145" s="4"/>
    </row>
    <row r="146" spans="3:22" ht="12.75">
      <c r="C146" s="40"/>
      <c r="U146" s="4"/>
      <c r="V146" s="4"/>
    </row>
    <row r="147" spans="3:22" ht="12.75">
      <c r="C147" s="40"/>
      <c r="U147" s="4"/>
      <c r="V147" s="4"/>
    </row>
    <row r="148" spans="3:22" ht="12.75">
      <c r="C148" s="40"/>
      <c r="U148" s="4"/>
      <c r="V148" s="4"/>
    </row>
    <row r="149" ht="12.75">
      <c r="C149" s="40"/>
    </row>
    <row r="150" ht="12.75">
      <c r="C150" s="40"/>
    </row>
    <row r="151" ht="12.75">
      <c r="C151" s="40"/>
    </row>
    <row r="152" ht="12.75">
      <c r="C152" s="40"/>
    </row>
    <row r="153" ht="12.75">
      <c r="C153" s="40"/>
    </row>
    <row r="154" ht="12.75">
      <c r="C154" s="40"/>
    </row>
    <row r="155" ht="12.75">
      <c r="C155" s="40"/>
    </row>
    <row r="156" ht="12.75">
      <c r="C156" s="40"/>
    </row>
    <row r="157" ht="12.75">
      <c r="C157" s="40"/>
    </row>
    <row r="158" ht="12.75">
      <c r="C158" s="40"/>
    </row>
    <row r="159" ht="12.75">
      <c r="C159" s="40"/>
    </row>
    <row r="160" ht="12.75">
      <c r="C160" s="40"/>
    </row>
    <row r="161" ht="12.75">
      <c r="C161" s="40"/>
    </row>
    <row r="162" ht="12.75">
      <c r="C162" s="40"/>
    </row>
    <row r="163" ht="12.75">
      <c r="C163" s="40"/>
    </row>
    <row r="164" ht="12.75">
      <c r="C164" s="40"/>
    </row>
    <row r="165" ht="12.75">
      <c r="C165" s="40"/>
    </row>
    <row r="166" ht="12.75">
      <c r="C166" s="40"/>
    </row>
    <row r="167" ht="12.75">
      <c r="C167" s="40"/>
    </row>
    <row r="168" ht="12.75">
      <c r="C168" s="40"/>
    </row>
    <row r="169" ht="12.75">
      <c r="C169" s="40"/>
    </row>
    <row r="170" ht="12.75">
      <c r="C170" s="40"/>
    </row>
    <row r="171" ht="12.75">
      <c r="C171" s="40"/>
    </row>
    <row r="172" ht="12.75">
      <c r="C172" s="40"/>
    </row>
    <row r="173" ht="12.75">
      <c r="C173" s="40"/>
    </row>
    <row r="174" ht="12.75">
      <c r="C174" s="40"/>
    </row>
    <row r="175" ht="12.75">
      <c r="C175" s="40"/>
    </row>
    <row r="176" ht="12.75">
      <c r="C176" s="40"/>
    </row>
    <row r="177" ht="12.75">
      <c r="C177" s="40"/>
    </row>
    <row r="178" ht="12.75">
      <c r="C178" s="40"/>
    </row>
    <row r="179" ht="12.75">
      <c r="C179" s="40"/>
    </row>
    <row r="180" ht="12.75">
      <c r="C180" s="40"/>
    </row>
    <row r="181" ht="12.75">
      <c r="C181" s="40"/>
    </row>
    <row r="182" ht="12.75">
      <c r="C182" s="40"/>
    </row>
    <row r="183" ht="12.75">
      <c r="C183" s="40"/>
    </row>
    <row r="184" ht="12.75">
      <c r="C184" s="40"/>
    </row>
    <row r="185" ht="12.75">
      <c r="C185" s="40"/>
    </row>
    <row r="186" ht="12.75">
      <c r="C186" s="40"/>
    </row>
    <row r="187" ht="12.75">
      <c r="C187" s="40"/>
    </row>
    <row r="188" ht="12.75">
      <c r="C188" s="40"/>
    </row>
    <row r="189" ht="12.75">
      <c r="C189" s="40"/>
    </row>
    <row r="190" ht="12.75">
      <c r="C190" s="40"/>
    </row>
    <row r="191" ht="12.75">
      <c r="C191" s="40"/>
    </row>
    <row r="192" ht="12.75">
      <c r="C192" s="40"/>
    </row>
    <row r="193" ht="12.75">
      <c r="C193" s="40"/>
    </row>
    <row r="194" ht="12.75">
      <c r="C194" s="40"/>
    </row>
    <row r="195" ht="12.75">
      <c r="C195" s="40"/>
    </row>
    <row r="196" ht="12.75">
      <c r="C196" s="40"/>
    </row>
    <row r="197" ht="12.75">
      <c r="C197" s="40"/>
    </row>
    <row r="198" ht="12.75">
      <c r="C198" s="40"/>
    </row>
    <row r="199" ht="12.75">
      <c r="C199" s="40"/>
    </row>
    <row r="200" ht="12.75">
      <c r="C200" s="40"/>
    </row>
    <row r="201" ht="12.75">
      <c r="C201" s="40"/>
    </row>
    <row r="202" ht="12.75">
      <c r="C202" s="40"/>
    </row>
    <row r="203" ht="12.75">
      <c r="C203" s="40"/>
    </row>
    <row r="204" ht="12.75">
      <c r="C204" s="40"/>
    </row>
  </sheetData>
  <sheetProtection sheet="1" objects="1" scenarios="1"/>
  <mergeCells count="28">
    <mergeCell ref="P34:Q35"/>
    <mergeCell ref="S34:T35"/>
    <mergeCell ref="B35:B36"/>
    <mergeCell ref="C35:C36"/>
    <mergeCell ref="D35:D36"/>
    <mergeCell ref="E35:E36"/>
    <mergeCell ref="F35:G35"/>
    <mergeCell ref="I35:I36"/>
    <mergeCell ref="J35:J36"/>
    <mergeCell ref="K35:K36"/>
    <mergeCell ref="A32:B32"/>
    <mergeCell ref="A34:A36"/>
    <mergeCell ref="B34:G34"/>
    <mergeCell ref="I34:N34"/>
    <mergeCell ref="L35:L36"/>
    <mergeCell ref="M35:N35"/>
    <mergeCell ref="A28:B28"/>
    <mergeCell ref="A29:B29"/>
    <mergeCell ref="A30:B30"/>
    <mergeCell ref="A31:B31"/>
    <mergeCell ref="A25:D25"/>
    <mergeCell ref="A26:B26"/>
    <mergeCell ref="A27:B27"/>
    <mergeCell ref="P27:Q27"/>
    <mergeCell ref="A3:A4"/>
    <mergeCell ref="C3:D3"/>
    <mergeCell ref="C6:D6"/>
    <mergeCell ref="A16:A17"/>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Traverse XL</dc:title>
  <dc:subject/>
  <dc:creator>Bart Fredericks</dc:creator>
  <cp:keywords/>
  <dc:description/>
  <cp:lastModifiedBy>wingm</cp:lastModifiedBy>
  <cp:lastPrinted>2005-04-08T23:05:31Z</cp:lastPrinted>
  <dcterms:created xsi:type="dcterms:W3CDTF">2004-10-15T23:25:26Z</dcterms:created>
  <dcterms:modified xsi:type="dcterms:W3CDTF">2005-06-21T18:32:32Z</dcterms:modified>
  <cp:category/>
  <cp:version/>
  <cp:contentType/>
  <cp:contentStatus/>
</cp:coreProperties>
</file>